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23256" windowHeight="12576" activeTab="1"/>
  </bookViews>
  <sheets>
    <sheet name="Kampe" sheetId="3" r:id="rId1"/>
    <sheet name="Misafregning" sheetId="1" r:id="rId2"/>
    <sheet name="Scoretavle_3_mands" sheetId="4" r:id="rId3"/>
    <sheet name="Scoretavle_Trio" sheetId="6" r:id="rId4"/>
    <sheet name="Scoretavle_Double" sheetId="7" r:id="rId5"/>
    <sheet name="Scoretavle_4_damers hold" sheetId="10" r:id="rId6"/>
    <sheet name="Licensnumre" sheetId="5" r:id="rId7"/>
  </sheets>
  <definedNames>
    <definedName name="_xlnm._FilterDatabase" localSheetId="0" hidden="1">Kampe!$A$1:$U$63</definedName>
    <definedName name="_xlnm._FilterDatabase" localSheetId="6" hidden="1">Licensnumre!$C$2:$F$32</definedName>
    <definedName name="_xlnm.Print_Area" localSheetId="1">Misafregning!$A$1:$K$30</definedName>
    <definedName name="_xlnm.Print_Area" localSheetId="2">Scoretavle_3_mands!$A$1:$J$34</definedName>
    <definedName name="_xlnm.Print_Area" localSheetId="5">'Scoretavle_4_damers hold'!$A$1:$N$40</definedName>
    <definedName name="_xlnm.Print_Area" localSheetId="4">Scoretavle_Double!$A$1:$R$48</definedName>
    <definedName name="_xlnm.Print_Area" localSheetId="3">Scoretavle_Trio!$A$1:$N$43</definedName>
  </definedNames>
  <calcPr calcId="145621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11" i="1"/>
  <c r="C21" i="4"/>
  <c r="D21" i="4"/>
  <c r="E21" i="4"/>
  <c r="A10" i="1"/>
  <c r="A12" i="1"/>
  <c r="C4" i="1"/>
  <c r="B4" i="1"/>
  <c r="P4" i="1"/>
  <c r="H4" i="1" l="1"/>
  <c r="N29" i="10" l="1"/>
  <c r="N28" i="10"/>
  <c r="N27" i="10"/>
  <c r="N26" i="10"/>
  <c r="N25" i="10"/>
  <c r="N24" i="10"/>
  <c r="N14" i="10"/>
  <c r="N13" i="10"/>
  <c r="N12" i="10"/>
  <c r="N11" i="10"/>
  <c r="N10" i="10"/>
  <c r="N9" i="10"/>
  <c r="L31" i="10"/>
  <c r="L34" i="10" s="1"/>
  <c r="J31" i="10"/>
  <c r="J34" i="10" s="1"/>
  <c r="H31" i="10"/>
  <c r="H34" i="10" s="1"/>
  <c r="F31" i="10"/>
  <c r="F34" i="10" s="1"/>
  <c r="L30" i="10"/>
  <c r="L32" i="10" s="1"/>
  <c r="J30" i="10"/>
  <c r="J33" i="10" s="1"/>
  <c r="H30" i="10"/>
  <c r="F30" i="10"/>
  <c r="F33" i="10" s="1"/>
  <c r="L16" i="10"/>
  <c r="L19" i="10" s="1"/>
  <c r="J16" i="10"/>
  <c r="J19" i="10" s="1"/>
  <c r="H16" i="10"/>
  <c r="H19" i="10" s="1"/>
  <c r="F16" i="10"/>
  <c r="F19" i="10" s="1"/>
  <c r="L15" i="10"/>
  <c r="J15" i="10"/>
  <c r="J18" i="10" s="1"/>
  <c r="H15" i="10"/>
  <c r="F15" i="10"/>
  <c r="F18" i="10" s="1"/>
  <c r="E13" i="10"/>
  <c r="D13" i="10"/>
  <c r="C13" i="10"/>
  <c r="E11" i="10"/>
  <c r="D11" i="10"/>
  <c r="C11" i="10"/>
  <c r="E10" i="10"/>
  <c r="D10" i="10"/>
  <c r="C10" i="10"/>
  <c r="A2" i="10"/>
  <c r="E6" i="10" l="1"/>
  <c r="A4" i="10"/>
  <c r="B4" i="10"/>
  <c r="F32" i="10"/>
  <c r="H32" i="10"/>
  <c r="H35" i="10" s="1"/>
  <c r="N19" i="10"/>
  <c r="N34" i="10"/>
  <c r="N31" i="10"/>
  <c r="L35" i="10"/>
  <c r="J32" i="10"/>
  <c r="N30" i="10"/>
  <c r="F17" i="10"/>
  <c r="J17" i="10"/>
  <c r="J20" i="10" s="1"/>
  <c r="J21" i="10" s="1"/>
  <c r="H17" i="10"/>
  <c r="H20" i="10" s="1"/>
  <c r="L17" i="10"/>
  <c r="L20" i="10" s="1"/>
  <c r="N15" i="10"/>
  <c r="N16" i="10"/>
  <c r="H18" i="10"/>
  <c r="L18" i="10"/>
  <c r="J35" i="10"/>
  <c r="H33" i="10"/>
  <c r="L33" i="10"/>
  <c r="A6" i="10"/>
  <c r="D2" i="10"/>
  <c r="D4" i="10"/>
  <c r="E24" i="10" l="1"/>
  <c r="A24" i="10"/>
  <c r="D24" i="10"/>
  <c r="C24" i="10"/>
  <c r="B24" i="10"/>
  <c r="A9" i="10"/>
  <c r="B9" i="10"/>
  <c r="E9" i="10"/>
  <c r="D9" i="10"/>
  <c r="C9" i="10"/>
  <c r="B23" i="10"/>
  <c r="D39" i="10"/>
  <c r="N32" i="10"/>
  <c r="H36" i="10"/>
  <c r="J36" i="10"/>
  <c r="N33" i="10"/>
  <c r="L36" i="10"/>
  <c r="H21" i="10"/>
  <c r="L21" i="10"/>
  <c r="N17" i="10"/>
  <c r="N18" i="10"/>
  <c r="F35" i="10"/>
  <c r="F36" i="10" s="1"/>
  <c r="B8" i="10"/>
  <c r="A39" i="10"/>
  <c r="F20" i="10"/>
  <c r="N36" i="10" l="1"/>
  <c r="N35" i="10"/>
  <c r="N20" i="10"/>
  <c r="F21" i="10"/>
  <c r="N21" i="10" s="1"/>
  <c r="C13" i="6"/>
  <c r="D13" i="6"/>
  <c r="E13" i="6"/>
  <c r="C14" i="6"/>
  <c r="D14" i="6"/>
  <c r="E14" i="6"/>
  <c r="C15" i="6"/>
  <c r="D15" i="6"/>
  <c r="E15" i="6"/>
  <c r="E15" i="7" l="1"/>
  <c r="D15" i="7"/>
  <c r="C15" i="7"/>
  <c r="E14" i="7"/>
  <c r="D14" i="7"/>
  <c r="C14" i="7"/>
  <c r="E13" i="7"/>
  <c r="D13" i="7"/>
  <c r="C13" i="7"/>
  <c r="E11" i="7"/>
  <c r="D11" i="7"/>
  <c r="C11" i="7"/>
  <c r="E10" i="7"/>
  <c r="D10" i="7"/>
  <c r="C10" i="7"/>
  <c r="C32" i="6"/>
  <c r="D32" i="6"/>
  <c r="E32" i="6"/>
  <c r="C31" i="6"/>
  <c r="D31" i="6"/>
  <c r="E31" i="6"/>
  <c r="C30" i="6"/>
  <c r="D30" i="6"/>
  <c r="E30" i="6"/>
  <c r="C28" i="6"/>
  <c r="D28" i="6"/>
  <c r="E28" i="6"/>
  <c r="C27" i="6"/>
  <c r="D27" i="6"/>
  <c r="E27" i="6"/>
  <c r="E12" i="4"/>
  <c r="D12" i="4"/>
  <c r="C12" i="4"/>
  <c r="B28" i="10" l="1"/>
  <c r="A28" i="10"/>
  <c r="B13" i="10"/>
  <c r="A13" i="10"/>
  <c r="A14" i="1"/>
  <c r="A13" i="1"/>
  <c r="A9" i="1"/>
  <c r="D6" i="1"/>
  <c r="B6" i="1"/>
  <c r="E3" i="1"/>
  <c r="E4" i="1"/>
  <c r="B5" i="1"/>
  <c r="B25" i="10" l="1"/>
  <c r="A10" i="10"/>
  <c r="A25" i="10"/>
  <c r="B10" i="10"/>
  <c r="B27" i="10"/>
  <c r="A12" i="10"/>
  <c r="A27" i="10"/>
  <c r="B12" i="10"/>
  <c r="B26" i="10"/>
  <c r="B11" i="10"/>
  <c r="A26" i="10"/>
  <c r="A11" i="10"/>
  <c r="H24" i="1"/>
  <c r="H25" i="1"/>
  <c r="J22" i="4" l="1"/>
  <c r="J21" i="4"/>
  <c r="J20" i="4"/>
  <c r="J19" i="4"/>
  <c r="J18" i="4"/>
  <c r="J13" i="4"/>
  <c r="J12" i="4"/>
  <c r="J11" i="4"/>
  <c r="J10" i="4"/>
  <c r="J9" i="4"/>
  <c r="I23" i="4"/>
  <c r="H23" i="4"/>
  <c r="G23" i="4"/>
  <c r="F23" i="4"/>
  <c r="I14" i="4"/>
  <c r="I15" i="4" s="1"/>
  <c r="H14" i="4"/>
  <c r="H15" i="4" s="1"/>
  <c r="G14" i="4"/>
  <c r="G15" i="4" s="1"/>
  <c r="F14" i="4"/>
  <c r="F15" i="4" s="1"/>
  <c r="R35" i="7"/>
  <c r="R34" i="7"/>
  <c r="R33" i="7"/>
  <c r="R32" i="7"/>
  <c r="R31" i="7"/>
  <c r="R30" i="7"/>
  <c r="R29" i="7"/>
  <c r="R28" i="7"/>
  <c r="P38" i="7"/>
  <c r="P42" i="7" s="1"/>
  <c r="N38" i="7"/>
  <c r="N42" i="7" s="1"/>
  <c r="L38" i="7"/>
  <c r="L42" i="7" s="1"/>
  <c r="J38" i="7"/>
  <c r="J42" i="7" s="1"/>
  <c r="H38" i="7"/>
  <c r="H42" i="7" s="1"/>
  <c r="F38" i="7"/>
  <c r="F42" i="7" s="1"/>
  <c r="P37" i="7"/>
  <c r="P41" i="7" s="1"/>
  <c r="N37" i="7"/>
  <c r="N41" i="7" s="1"/>
  <c r="L37" i="7"/>
  <c r="L41" i="7" s="1"/>
  <c r="J37" i="7"/>
  <c r="J41" i="7" s="1"/>
  <c r="H37" i="7"/>
  <c r="H41" i="7" s="1"/>
  <c r="F37" i="7"/>
  <c r="F41" i="7" s="1"/>
  <c r="R41" i="7" s="1"/>
  <c r="P36" i="7"/>
  <c r="P39" i="7" s="1"/>
  <c r="P43" i="7" s="1"/>
  <c r="N36" i="7"/>
  <c r="L36" i="7"/>
  <c r="J36" i="7"/>
  <c r="J39" i="7" s="1"/>
  <c r="J43" i="7" s="1"/>
  <c r="H36" i="7"/>
  <c r="H39" i="7" s="1"/>
  <c r="H43" i="7" s="1"/>
  <c r="F36" i="7"/>
  <c r="P19" i="7"/>
  <c r="N19" i="7"/>
  <c r="N23" i="7" s="1"/>
  <c r="N25" i="7" s="1"/>
  <c r="L19" i="7"/>
  <c r="L23" i="7" s="1"/>
  <c r="J19" i="7"/>
  <c r="H19" i="7"/>
  <c r="F19" i="7"/>
  <c r="F23" i="7" s="1"/>
  <c r="P23" i="7"/>
  <c r="J23" i="7"/>
  <c r="H23" i="7"/>
  <c r="R16" i="7"/>
  <c r="R15" i="7"/>
  <c r="R14" i="7"/>
  <c r="R13" i="7"/>
  <c r="R12" i="7"/>
  <c r="R11" i="7"/>
  <c r="R10" i="7"/>
  <c r="R9" i="7"/>
  <c r="P18" i="7"/>
  <c r="P17" i="7"/>
  <c r="P20" i="7" s="1"/>
  <c r="P24" i="7" s="1"/>
  <c r="N18" i="7"/>
  <c r="N17" i="7"/>
  <c r="N20" i="7" s="1"/>
  <c r="N24" i="7" s="1"/>
  <c r="L18" i="7"/>
  <c r="L17" i="7"/>
  <c r="J18" i="7"/>
  <c r="J17" i="7"/>
  <c r="J20" i="7" s="1"/>
  <c r="J24" i="7" s="1"/>
  <c r="H18" i="7"/>
  <c r="H17" i="7"/>
  <c r="H20" i="7" s="1"/>
  <c r="H24" i="7" s="1"/>
  <c r="L22" i="7"/>
  <c r="J22" i="7"/>
  <c r="H22" i="7"/>
  <c r="F18" i="7"/>
  <c r="F22" i="7" s="1"/>
  <c r="F17" i="7"/>
  <c r="A2" i="7"/>
  <c r="N33" i="6"/>
  <c r="N32" i="6"/>
  <c r="N31" i="6"/>
  <c r="N30" i="6"/>
  <c r="N29" i="6"/>
  <c r="N28" i="6"/>
  <c r="N27" i="6"/>
  <c r="N26" i="6"/>
  <c r="L35" i="6"/>
  <c r="L38" i="6" s="1"/>
  <c r="L34" i="6"/>
  <c r="L36" i="6" s="1"/>
  <c r="L39" i="6" s="1"/>
  <c r="J35" i="6"/>
  <c r="J38" i="6" s="1"/>
  <c r="J34" i="6"/>
  <c r="H35" i="6"/>
  <c r="H38" i="6" s="1"/>
  <c r="H34" i="6"/>
  <c r="F35" i="6"/>
  <c r="N35" i="6" s="1"/>
  <c r="F34" i="6"/>
  <c r="N16" i="6"/>
  <c r="N15" i="6"/>
  <c r="N14" i="6"/>
  <c r="N13" i="6"/>
  <c r="N12" i="6"/>
  <c r="N11" i="6"/>
  <c r="N10" i="6"/>
  <c r="N9" i="6"/>
  <c r="L18" i="6"/>
  <c r="L21" i="6" s="1"/>
  <c r="L17" i="6"/>
  <c r="J18" i="6"/>
  <c r="J21" i="6" s="1"/>
  <c r="J17" i="6"/>
  <c r="H18" i="6"/>
  <c r="H21" i="6" s="1"/>
  <c r="H17" i="6"/>
  <c r="F18" i="6"/>
  <c r="N18" i="6" s="1"/>
  <c r="F17" i="6"/>
  <c r="F20" i="6" s="1"/>
  <c r="H19" i="6" l="1"/>
  <c r="H22" i="6" s="1"/>
  <c r="L19" i="6"/>
  <c r="L22" i="6" s="1"/>
  <c r="H36" i="6"/>
  <c r="H39" i="6" s="1"/>
  <c r="J19" i="6"/>
  <c r="J22" i="6" s="1"/>
  <c r="J36" i="6"/>
  <c r="J39" i="6" s="1"/>
  <c r="R22" i="7"/>
  <c r="F39" i="7"/>
  <c r="F43" i="7" s="1"/>
  <c r="N39" i="7"/>
  <c r="N43" i="7" s="1"/>
  <c r="L20" i="7"/>
  <c r="L24" i="7" s="1"/>
  <c r="L39" i="7"/>
  <c r="L43" i="7" s="1"/>
  <c r="A6" i="7"/>
  <c r="A14" i="7" s="1"/>
  <c r="B4" i="7"/>
  <c r="A4" i="7"/>
  <c r="P25" i="7"/>
  <c r="R37" i="7"/>
  <c r="R39" i="7"/>
  <c r="H40" i="7"/>
  <c r="H44" i="7" s="1"/>
  <c r="L40" i="7"/>
  <c r="L44" i="7" s="1"/>
  <c r="P40" i="7"/>
  <c r="P44" i="7" s="1"/>
  <c r="R23" i="7"/>
  <c r="R36" i="7"/>
  <c r="R38" i="7"/>
  <c r="F40" i="7"/>
  <c r="J40" i="7"/>
  <c r="J44" i="7" s="1"/>
  <c r="N40" i="7"/>
  <c r="N44" i="7" s="1"/>
  <c r="H20" i="6"/>
  <c r="J20" i="6"/>
  <c r="J23" i="6" s="1"/>
  <c r="L20" i="6"/>
  <c r="L23" i="6" s="1"/>
  <c r="H37" i="6"/>
  <c r="H40" i="6" s="1"/>
  <c r="J37" i="6"/>
  <c r="L37" i="6"/>
  <c r="L40" i="6" s="1"/>
  <c r="J23" i="4"/>
  <c r="J24" i="4" s="1"/>
  <c r="F24" i="4"/>
  <c r="J14" i="4"/>
  <c r="J15" i="4" s="1"/>
  <c r="I24" i="4"/>
  <c r="H24" i="4"/>
  <c r="G24" i="4"/>
  <c r="F20" i="7"/>
  <c r="F24" i="7" s="1"/>
  <c r="R24" i="7" s="1"/>
  <c r="F44" i="7"/>
  <c r="R17" i="7"/>
  <c r="R19" i="7"/>
  <c r="R18" i="7"/>
  <c r="R42" i="7"/>
  <c r="R40" i="7"/>
  <c r="L21" i="7"/>
  <c r="L25" i="7" s="1"/>
  <c r="H21" i="7"/>
  <c r="H25" i="7" s="1"/>
  <c r="R44" i="7"/>
  <c r="J21" i="7"/>
  <c r="J25" i="7" s="1"/>
  <c r="F21" i="7"/>
  <c r="D2" i="7"/>
  <c r="E6" i="7"/>
  <c r="D4" i="7"/>
  <c r="F37" i="6"/>
  <c r="N37" i="6" s="1"/>
  <c r="F38" i="6"/>
  <c r="N38" i="6" s="1"/>
  <c r="F21" i="6"/>
  <c r="N21" i="6" s="1"/>
  <c r="F36" i="6"/>
  <c r="N34" i="6"/>
  <c r="N17" i="6"/>
  <c r="F19" i="6"/>
  <c r="A2" i="6"/>
  <c r="A2" i="4"/>
  <c r="C4" i="4" s="1"/>
  <c r="B15" i="7" l="1"/>
  <c r="A15" i="7"/>
  <c r="B14" i="7"/>
  <c r="A13" i="7"/>
  <c r="B28" i="7"/>
  <c r="E28" i="7"/>
  <c r="A28" i="7"/>
  <c r="D28" i="7"/>
  <c r="C28" i="7"/>
  <c r="B12" i="7"/>
  <c r="B13" i="7"/>
  <c r="A11" i="7"/>
  <c r="B9" i="7"/>
  <c r="A9" i="7"/>
  <c r="E9" i="7"/>
  <c r="D9" i="7"/>
  <c r="C9" i="7"/>
  <c r="B8" i="7"/>
  <c r="B11" i="7"/>
  <c r="A10" i="7"/>
  <c r="J40" i="6"/>
  <c r="H23" i="6"/>
  <c r="R43" i="7"/>
  <c r="B10" i="7"/>
  <c r="A47" i="7"/>
  <c r="A12" i="7"/>
  <c r="E6" i="6"/>
  <c r="A31" i="6" s="1"/>
  <c r="A4" i="6"/>
  <c r="B4" i="6"/>
  <c r="B4" i="4"/>
  <c r="A4" i="4"/>
  <c r="A34" i="7"/>
  <c r="B34" i="7"/>
  <c r="A32" i="7"/>
  <c r="B32" i="7"/>
  <c r="A29" i="7"/>
  <c r="A31" i="7"/>
  <c r="B30" i="7"/>
  <c r="A33" i="7"/>
  <c r="B29" i="7"/>
  <c r="B31" i="7"/>
  <c r="A30" i="7"/>
  <c r="B33" i="7"/>
  <c r="D47" i="7"/>
  <c r="N19" i="6"/>
  <c r="F22" i="6"/>
  <c r="N22" i="6" s="1"/>
  <c r="N36" i="6"/>
  <c r="F39" i="6"/>
  <c r="F40" i="6" s="1"/>
  <c r="N40" i="6" s="1"/>
  <c r="N20" i="6"/>
  <c r="F25" i="7"/>
  <c r="R25" i="7" s="1"/>
  <c r="R20" i="7"/>
  <c r="R21" i="7"/>
  <c r="B27" i="7"/>
  <c r="A6" i="4"/>
  <c r="E6" i="4"/>
  <c r="A6" i="6"/>
  <c r="C2" i="6"/>
  <c r="C4" i="6"/>
  <c r="C2" i="4"/>
  <c r="A32" i="6" l="1"/>
  <c r="C26" i="6"/>
  <c r="B26" i="6"/>
  <c r="E26" i="6"/>
  <c r="A26" i="6"/>
  <c r="D26" i="6"/>
  <c r="B30" i="6"/>
  <c r="A30" i="6"/>
  <c r="B9" i="6"/>
  <c r="A9" i="6"/>
  <c r="C9" i="6"/>
  <c r="E9" i="6"/>
  <c r="D9" i="6"/>
  <c r="A18" i="4"/>
  <c r="B18" i="4"/>
  <c r="A9" i="4"/>
  <c r="A10" i="4"/>
  <c r="B9" i="4"/>
  <c r="A27" i="6"/>
  <c r="E9" i="4"/>
  <c r="D9" i="4"/>
  <c r="C9" i="4"/>
  <c r="A19" i="4"/>
  <c r="B19" i="4"/>
  <c r="C18" i="4"/>
  <c r="D18" i="4"/>
  <c r="E18" i="4"/>
  <c r="A28" i="6"/>
  <c r="A21" i="4"/>
  <c r="B21" i="4"/>
  <c r="A29" i="6"/>
  <c r="B15" i="6"/>
  <c r="A15" i="6"/>
  <c r="A11" i="4"/>
  <c r="B11" i="4"/>
  <c r="B10" i="4"/>
  <c r="A12" i="4"/>
  <c r="B12" i="4"/>
  <c r="A20" i="4"/>
  <c r="B20" i="4"/>
  <c r="A13" i="6"/>
  <c r="B13" i="6"/>
  <c r="A11" i="6"/>
  <c r="A14" i="6"/>
  <c r="A10" i="6"/>
  <c r="A12" i="6"/>
  <c r="B11" i="6"/>
  <c r="B14" i="6"/>
  <c r="B10" i="6"/>
  <c r="B12" i="6"/>
  <c r="F23" i="6"/>
  <c r="N23" i="6" s="1"/>
  <c r="B32" i="6"/>
  <c r="B31" i="6"/>
  <c r="A43" i="6"/>
  <c r="D29" i="6"/>
  <c r="C29" i="6"/>
  <c r="E29" i="6"/>
  <c r="B25" i="6"/>
  <c r="B29" i="6"/>
  <c r="B28" i="6"/>
  <c r="B27" i="6"/>
  <c r="D11" i="4"/>
  <c r="D10" i="4"/>
  <c r="C11" i="4"/>
  <c r="E11" i="4"/>
  <c r="C10" i="4"/>
  <c r="E10" i="4"/>
  <c r="D20" i="4"/>
  <c r="E19" i="4"/>
  <c r="C19" i="4"/>
  <c r="E20" i="4"/>
  <c r="C20" i="4"/>
  <c r="D19" i="4"/>
  <c r="A30" i="4"/>
  <c r="D43" i="6"/>
  <c r="B8" i="4"/>
  <c r="B17" i="4"/>
  <c r="D30" i="4"/>
  <c r="B8" i="6"/>
  <c r="H18" i="1" l="1"/>
  <c r="H19" i="1" l="1"/>
  <c r="H20" i="1" s="1"/>
  <c r="B17" i="1" l="1"/>
  <c r="H21" i="1" s="1"/>
  <c r="H23" i="1" l="1"/>
  <c r="H22" i="1"/>
  <c r="F17" i="1"/>
</calcChain>
</file>

<file path=xl/sharedStrings.xml><?xml version="1.0" encoding="utf-8"?>
<sst xmlns="http://schemas.openxmlformats.org/spreadsheetml/2006/main" count="1010" uniqueCount="276">
  <si>
    <t>Frederikssund</t>
  </si>
  <si>
    <t>Glostrup</t>
  </si>
  <si>
    <t>Grøndal</t>
  </si>
  <si>
    <t>Haslev</t>
  </si>
  <si>
    <t>Herlev</t>
  </si>
  <si>
    <t>Køge</t>
  </si>
  <si>
    <t>Rødovre</t>
  </si>
  <si>
    <t>Slagelse</t>
  </si>
  <si>
    <t>Mispenge og kampafregning</t>
  </si>
  <si>
    <t>Dato</t>
  </si>
  <si>
    <t>Sted</t>
  </si>
  <si>
    <t>Kamp</t>
  </si>
  <si>
    <t>Antal spillere pr. serie</t>
  </si>
  <si>
    <t>Antal serier</t>
  </si>
  <si>
    <t>Navn</t>
  </si>
  <si>
    <t>Serie 1</t>
  </si>
  <si>
    <t>Serie 2</t>
  </si>
  <si>
    <t>Serie 3</t>
  </si>
  <si>
    <t>Serie 4</t>
  </si>
  <si>
    <t>Serie 5</t>
  </si>
  <si>
    <t>Serie 6</t>
  </si>
  <si>
    <t>Renden</t>
  </si>
  <si>
    <t>Mis i alt</t>
  </si>
  <si>
    <t>TOTAL Mispenge</t>
  </si>
  <si>
    <t>Konto</t>
  </si>
  <si>
    <t>Mispenge</t>
  </si>
  <si>
    <t>Total</t>
  </si>
  <si>
    <t>Halleje</t>
  </si>
  <si>
    <t>Kampe</t>
  </si>
  <si>
    <t>Kampgebyr</t>
  </si>
  <si>
    <t>Kamp I alt</t>
  </si>
  <si>
    <t>Betalt af spillere</t>
  </si>
  <si>
    <t>Kampafregning</t>
  </si>
  <si>
    <t>Afrunding Kamp</t>
  </si>
  <si>
    <t>Afregnes med kasserer</t>
  </si>
  <si>
    <t>Beløbet afleveres sammen med denne seddel til kasserer til første træning efter kamp</t>
  </si>
  <si>
    <t>Ved hjemmebane</t>
  </si>
  <si>
    <t>spiller 1</t>
  </si>
  <si>
    <t>Spiller 2</t>
  </si>
  <si>
    <t>Spiller 3</t>
  </si>
  <si>
    <t>Spiller 4</t>
  </si>
  <si>
    <t>Spiller 5</t>
  </si>
  <si>
    <t>Spiller 6</t>
  </si>
  <si>
    <t>Spiller 7</t>
  </si>
  <si>
    <t>Kampnr.</t>
  </si>
  <si>
    <t>Tid</t>
  </si>
  <si>
    <t>Lena</t>
  </si>
  <si>
    <t>Marianne</t>
  </si>
  <si>
    <t>Hanne K</t>
  </si>
  <si>
    <t>Jens</t>
  </si>
  <si>
    <t>Lars</t>
  </si>
  <si>
    <t>Jimmy</t>
  </si>
  <si>
    <t>Ole</t>
  </si>
  <si>
    <t>Henning</t>
  </si>
  <si>
    <t>Kenn</t>
  </si>
  <si>
    <t>Margit</t>
  </si>
  <si>
    <t>Ysse</t>
  </si>
  <si>
    <t>Torben</t>
  </si>
  <si>
    <t>Tim</t>
  </si>
  <si>
    <t>Nakskov</t>
  </si>
  <si>
    <t>Kurt</t>
  </si>
  <si>
    <t>Hanne L</t>
  </si>
  <si>
    <t>Kristian</t>
  </si>
  <si>
    <t>Michael</t>
  </si>
  <si>
    <t>Henrik</t>
  </si>
  <si>
    <t>Gitte</t>
  </si>
  <si>
    <t>Hold</t>
  </si>
  <si>
    <t>Miks 1</t>
  </si>
  <si>
    <t>Miks 2</t>
  </si>
  <si>
    <t>Halpris</t>
  </si>
  <si>
    <t>Kampafgift</t>
  </si>
  <si>
    <t>Kampnummer</t>
  </si>
  <si>
    <t>Spiller pr. serie</t>
  </si>
  <si>
    <t>Serier</t>
  </si>
  <si>
    <t>Betaling Alle serier</t>
  </si>
  <si>
    <t>Betaling pr. serie</t>
  </si>
  <si>
    <t>Mis I alt</t>
  </si>
  <si>
    <t>Kampafregning + Mis I alt</t>
  </si>
  <si>
    <t>Beløbet kan overføres via bank på konto</t>
  </si>
  <si>
    <t>Anfør kampnummer</t>
  </si>
  <si>
    <t>Sted:</t>
  </si>
  <si>
    <t>Hold:</t>
  </si>
  <si>
    <t>Række</t>
  </si>
  <si>
    <t>Spillested</t>
  </si>
  <si>
    <t>LBC 2012</t>
  </si>
  <si>
    <t>-</t>
  </si>
  <si>
    <t>BK Keglerne</t>
  </si>
  <si>
    <t>Fællesserie</t>
  </si>
  <si>
    <t>Sammentælling</t>
  </si>
  <si>
    <t>Point</t>
  </si>
  <si>
    <t>Dommer</t>
  </si>
  <si>
    <t>Turnering</t>
  </si>
  <si>
    <t>Hjemme</t>
  </si>
  <si>
    <t>Ellipsen</t>
  </si>
  <si>
    <t>Jackpot</t>
  </si>
  <si>
    <t>Moskito</t>
  </si>
  <si>
    <t>S.A.S.</t>
  </si>
  <si>
    <t>Joker</t>
  </si>
  <si>
    <t>Triominos</t>
  </si>
  <si>
    <t>BK Center</t>
  </si>
  <si>
    <t>Køge 75</t>
  </si>
  <si>
    <t>Partner 2009</t>
  </si>
  <si>
    <t>Sundby</t>
  </si>
  <si>
    <t>FBK 2000</t>
  </si>
  <si>
    <t>Ude</t>
  </si>
  <si>
    <t>Licens</t>
  </si>
  <si>
    <t>240570-LECH</t>
  </si>
  <si>
    <t>Lena Christensen</t>
  </si>
  <si>
    <t>090260-JEHA</t>
  </si>
  <si>
    <t>100591-HERA</t>
  </si>
  <si>
    <t>Henning Randløv-Hansen</t>
  </si>
  <si>
    <t>Yvonne Henriksen</t>
  </si>
  <si>
    <t>300148-MAHI</t>
  </si>
  <si>
    <t>Margit Hindsdal</t>
  </si>
  <si>
    <t>100544-BIJØ</t>
  </si>
  <si>
    <t>050357-YVHE</t>
  </si>
  <si>
    <t>Jimmy Pedersen</t>
  </si>
  <si>
    <t>Ole Jacobsen</t>
  </si>
  <si>
    <t>David Kastrup</t>
  </si>
  <si>
    <t>Total Trio 1</t>
  </si>
  <si>
    <t>Total Trio 2</t>
  </si>
  <si>
    <t>Total Hold</t>
  </si>
  <si>
    <t>Point Trio 1</t>
  </si>
  <si>
    <t>Point Trio 2</t>
  </si>
  <si>
    <t>Point I alt</t>
  </si>
  <si>
    <t>Total Dbl. 3</t>
  </si>
  <si>
    <t>Total Dbl. 2</t>
  </si>
  <si>
    <t>Total Dbl. 1</t>
  </si>
  <si>
    <t>Point Dbl. 1</t>
  </si>
  <si>
    <t>Point Dbl. 2</t>
  </si>
  <si>
    <t>Point Dbl. 3</t>
  </si>
  <si>
    <t>Point Hold</t>
  </si>
  <si>
    <t>Dato og Tid</t>
  </si>
  <si>
    <t>Dato og tid</t>
  </si>
  <si>
    <t>Birthe Humlebæk Jørgensen</t>
  </si>
  <si>
    <t>110794-DAKA</t>
  </si>
  <si>
    <t>Finn Hansen</t>
  </si>
  <si>
    <t>200745-FIHA</t>
  </si>
  <si>
    <t>Gitte Hansen</t>
  </si>
  <si>
    <t>080160-GIHA</t>
  </si>
  <si>
    <t>Hanne Krøger</t>
  </si>
  <si>
    <t>161248-HAKR</t>
  </si>
  <si>
    <t>Hanne Larsen</t>
  </si>
  <si>
    <t>011046-HALA</t>
  </si>
  <si>
    <t>Henrik Hansen</t>
  </si>
  <si>
    <t>060451-HEHA</t>
  </si>
  <si>
    <t>Jan Klemmensen</t>
  </si>
  <si>
    <t>230666-JAKL</t>
  </si>
  <si>
    <t>Jens Christian Hansen</t>
  </si>
  <si>
    <t>Jess Worm</t>
  </si>
  <si>
    <t>020462-JEWO</t>
  </si>
  <si>
    <t>260781-JIPE</t>
  </si>
  <si>
    <t>Jørgen Rasmussen</t>
  </si>
  <si>
    <t>160944-JØRA</t>
  </si>
  <si>
    <t>Kenn Falk Nielsen</t>
  </si>
  <si>
    <t>240256-KENI</t>
  </si>
  <si>
    <t>Kristian Schnabelrauch</t>
  </si>
  <si>
    <t>260994-KRSC</t>
  </si>
  <si>
    <t>Kurt Vagn Larsen</t>
  </si>
  <si>
    <t>100247-KULA</t>
  </si>
  <si>
    <t>Lars Nicki Dybvik Jørgensen</t>
  </si>
  <si>
    <t>030582-LAJØ</t>
  </si>
  <si>
    <t>Leif Jacob Rasmussen</t>
  </si>
  <si>
    <t>290451-LERA</t>
  </si>
  <si>
    <t>Marianne Tina Nielsen</t>
  </si>
  <si>
    <t>270871-MANI</t>
  </si>
  <si>
    <t>Michael Henriksen</t>
  </si>
  <si>
    <t>190259-MIHE</t>
  </si>
  <si>
    <t>081050-OLJA</t>
  </si>
  <si>
    <t>Tim Larsen</t>
  </si>
  <si>
    <t>170863-TILA</t>
  </si>
  <si>
    <t>Torben Hansen</t>
  </si>
  <si>
    <t>151047-TOHA</t>
  </si>
  <si>
    <t>Jess</t>
  </si>
  <si>
    <t>Jørgen</t>
  </si>
  <si>
    <t>Tårnby</t>
  </si>
  <si>
    <t>Sundby 1</t>
  </si>
  <si>
    <t>LBC 2012 1</t>
  </si>
  <si>
    <t>Køge 75 2</t>
  </si>
  <si>
    <t>S.A.S. 2</t>
  </si>
  <si>
    <t>Joker 2</t>
  </si>
  <si>
    <t>Triominos 1</t>
  </si>
  <si>
    <t>S.A.S. 1</t>
  </si>
  <si>
    <t>Betalt inkl. Kamp</t>
  </si>
  <si>
    <t>Slagelse BC</t>
  </si>
  <si>
    <t>Millennium</t>
  </si>
  <si>
    <t>4-damers hold</t>
  </si>
  <si>
    <t>KBK 1940-LBC 2012</t>
  </si>
  <si>
    <t>LBC 2012-KBK 1940</t>
  </si>
  <si>
    <t>LBC 2012-S.A.S. 2</t>
  </si>
  <si>
    <t>LBC 2012-Ravnsborg</t>
  </si>
  <si>
    <t>Ravnsborg-LBC 2012</t>
  </si>
  <si>
    <t>Team Millennium-LBC 2012</t>
  </si>
  <si>
    <t>S.A.S. 2-LBC 2012</t>
  </si>
  <si>
    <t>KBK 1940</t>
  </si>
  <si>
    <t>Ravnsborg</t>
  </si>
  <si>
    <t>Birthe</t>
  </si>
  <si>
    <t>300545-INPE</t>
  </si>
  <si>
    <t>Ingelise Pedersen</t>
  </si>
  <si>
    <t>Short</t>
  </si>
  <si>
    <t>Ingelise</t>
  </si>
  <si>
    <t>Jan</t>
  </si>
  <si>
    <t>Leif</t>
  </si>
  <si>
    <t>Davis</t>
  </si>
  <si>
    <t>LBC 2012 1 - BK Center 1</t>
  </si>
  <si>
    <t>LBC 2012 1 - BK Keglerne 1</t>
  </si>
  <si>
    <t>Ellipsen 1 - LBC 2012 1</t>
  </si>
  <si>
    <t>BK Rolling Stones 1 - LBC 2012 1</t>
  </si>
  <si>
    <t>LBC 2012 1 - S.A.S. 1</t>
  </si>
  <si>
    <t>Joker 1 - LBC 2012 1</t>
  </si>
  <si>
    <t>LBC 2012 2 - BK Keglerne 2</t>
  </si>
  <si>
    <t>LBC 2012 2 - Triominos 1</t>
  </si>
  <si>
    <t>Joker 2 - LBC 2012 2</t>
  </si>
  <si>
    <t>S.A.S. 2 - LBC 2012 2</t>
  </si>
  <si>
    <t>LBC 2012 2 - FBK 2000 1</t>
  </si>
  <si>
    <t>BK Center 2 - LBC 2012 2</t>
  </si>
  <si>
    <t>Herrerække 2</t>
  </si>
  <si>
    <t>S.A.S. 1 - LBC 2012 1</t>
  </si>
  <si>
    <t>LBC 2012 1 - Moskito 1</t>
  </si>
  <si>
    <t>LBC 2012 1 - Pin-Crackers 1</t>
  </si>
  <si>
    <t>Nakskov BK 97 1 - LBC 2012 1</t>
  </si>
  <si>
    <t>LBC 2012 1 - Jackpot 1</t>
  </si>
  <si>
    <t>Antvorskov BK 1 - LBC 2012 1</t>
  </si>
  <si>
    <t>Pin-Crackers 1 - LBC 2012 1</t>
  </si>
  <si>
    <t>Moskito 1 - LBC 2012 1</t>
  </si>
  <si>
    <t>LBC 2012 1 - Antvorskov BK 1</t>
  </si>
  <si>
    <t>LBC 2012 1 - Nakskov BK 97 1</t>
  </si>
  <si>
    <t>Jackpot 1 - LBC 2012 1</t>
  </si>
  <si>
    <t>Moskito 1</t>
  </si>
  <si>
    <t>4. division B</t>
  </si>
  <si>
    <t>Triominos 1 - LBC 2012 1</t>
  </si>
  <si>
    <t>Køge 75 2 - LBC 2012 1</t>
  </si>
  <si>
    <t>BK Magic Striker 1 - LBC 2012 1</t>
  </si>
  <si>
    <t>LBC 2012 1 - Partner 2009 1</t>
  </si>
  <si>
    <t>LBC 2012 1 - Slagelse Bowling Club 2</t>
  </si>
  <si>
    <t>Sundby 1 - LBC 2012 1</t>
  </si>
  <si>
    <t>LBC 2012 1 - Triominos 1</t>
  </si>
  <si>
    <t>Partner 2009 1 - LBC 2012 1</t>
  </si>
  <si>
    <t>LBC 2012 1 - Køge 75 2</t>
  </si>
  <si>
    <t>LBC 2012 1 - BK Magic Striker 1</t>
  </si>
  <si>
    <t>LBC 2012 1 - Sundby 1</t>
  </si>
  <si>
    <t>Slagelse Bowling Club 2 - LBC 2012 1</t>
  </si>
  <si>
    <t>Magic Striker</t>
  </si>
  <si>
    <t>Antvorskov</t>
  </si>
  <si>
    <t>Pin-Crackers</t>
  </si>
  <si>
    <t>Rolling Stones</t>
  </si>
  <si>
    <t>Øst 4 damer hold B</t>
  </si>
  <si>
    <t>Øst Mix række 1</t>
  </si>
  <si>
    <t>Øst Mix række 2</t>
  </si>
  <si>
    <t>Øst række herrer række 2</t>
  </si>
  <si>
    <t>DT 4 Div Herrer Øst B</t>
  </si>
  <si>
    <t>Øst række Damer Række 1</t>
  </si>
  <si>
    <t>Damerække 1</t>
  </si>
  <si>
    <t>GVB 77 - LBC 2012</t>
  </si>
  <si>
    <t>GVB 77</t>
  </si>
  <si>
    <t>LBC 2012 - BK Rolling Stones</t>
  </si>
  <si>
    <t>Gladsaxe</t>
  </si>
  <si>
    <t>GBK - LBC 2012</t>
  </si>
  <si>
    <t>GBK</t>
  </si>
  <si>
    <t>LBC 2012 - Slagelse BC</t>
  </si>
  <si>
    <t>FBK 2000 - LBC 2012</t>
  </si>
  <si>
    <t>LBC 2012 - Keglerne</t>
  </si>
  <si>
    <t>LBC 2012 - GVB 77</t>
  </si>
  <si>
    <t>LBC 2012 - GBK</t>
  </si>
  <si>
    <t>Slagelse BC - LBC 2012</t>
  </si>
  <si>
    <t>Rolling Stones - LBC 2012</t>
  </si>
  <si>
    <t>LBC 2012 - FBK 2000</t>
  </si>
  <si>
    <t>LBC 2012 - Ellipsen</t>
  </si>
  <si>
    <t>BK Keglerne - LBC 2012</t>
  </si>
  <si>
    <t>LBC 2012-Team Millennium</t>
  </si>
  <si>
    <t>Jan K</t>
  </si>
  <si>
    <t>Finn</t>
  </si>
  <si>
    <t xml:space="preserve">Gitte </t>
  </si>
  <si>
    <t>Kommentar</t>
  </si>
  <si>
    <t>Dommer ved hjemmebane</t>
  </si>
  <si>
    <t>LBC 2012 - Ravnsborg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</si>
</sst>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/dd/mm/yyyy"/>
    <numFmt numFmtId="165" formatCode="hh:mm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6"/>
      <color rgb="FF333333"/>
      <name val="Verdana"/>
      <family val="2"/>
    </font>
    <font>
      <sz val="7"/>
      <color rgb="FF333333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0E0E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5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1" xfId="0" applyBorder="1" applyProtection="1"/>
    <xf numFmtId="0" fontId="1" fillId="0" borderId="0" xfId="0" applyFont="1" applyProtection="1"/>
    <xf numFmtId="0" fontId="0" fillId="0" borderId="0" xfId="0" applyBorder="1" applyProtection="1"/>
    <xf numFmtId="0" fontId="0" fillId="0" borderId="0" xfId="0" applyFill="1" applyBorder="1" applyProtection="1"/>
    <xf numFmtId="1" fontId="0" fillId="0" borderId="0" xfId="0" applyNumberFormat="1" applyFill="1" applyProtection="1"/>
    <xf numFmtId="0" fontId="0" fillId="3" borderId="1" xfId="0" applyFill="1" applyBorder="1" applyProtection="1"/>
    <xf numFmtId="0" fontId="0" fillId="0" borderId="1" xfId="0" applyFill="1" applyBorder="1" applyProtection="1"/>
    <xf numFmtId="4" fontId="0" fillId="0" borderId="12" xfId="0" applyNumberFormat="1" applyFill="1" applyBorder="1" applyProtection="1"/>
    <xf numFmtId="1" fontId="0" fillId="0" borderId="2" xfId="0" applyNumberFormat="1" applyFill="1" applyBorder="1" applyAlignment="1" applyProtection="1"/>
    <xf numFmtId="0" fontId="1" fillId="0" borderId="0" xfId="0" applyFont="1" applyAlignment="1" applyProtection="1">
      <alignment horizontal="right"/>
    </xf>
    <xf numFmtId="0" fontId="0" fillId="0" borderId="0" xfId="0" applyBorder="1" applyProtection="1">
      <protection locked="0"/>
    </xf>
    <xf numFmtId="4" fontId="0" fillId="2" borderId="12" xfId="0" applyNumberFormat="1" applyFill="1" applyBorder="1" applyProtection="1"/>
    <xf numFmtId="4" fontId="0" fillId="2" borderId="1" xfId="0" applyNumberFormat="1" applyFill="1" applyBorder="1" applyProtection="1"/>
    <xf numFmtId="0" fontId="0" fillId="6" borderId="5" xfId="0" applyFill="1" applyBorder="1" applyProtection="1"/>
    <xf numFmtId="0" fontId="3" fillId="0" borderId="19" xfId="0" applyFont="1" applyBorder="1"/>
    <xf numFmtId="0" fontId="3" fillId="0" borderId="0" xfId="0" applyFont="1"/>
    <xf numFmtId="0" fontId="3" fillId="0" borderId="21" xfId="0" applyFont="1" applyBorder="1"/>
    <xf numFmtId="0" fontId="3" fillId="0" borderId="8" xfId="0" applyFont="1" applyBorder="1"/>
    <xf numFmtId="0" fontId="3" fillId="0" borderId="33" xfId="0" applyFont="1" applyBorder="1"/>
    <xf numFmtId="0" fontId="3" fillId="0" borderId="16" xfId="0" applyFont="1" applyBorder="1"/>
    <xf numFmtId="0" fontId="3" fillId="0" borderId="34" xfId="0" applyFont="1" applyBorder="1"/>
    <xf numFmtId="0" fontId="3" fillId="0" borderId="32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40" xfId="0" applyFont="1" applyBorder="1"/>
    <xf numFmtId="0" fontId="3" fillId="0" borderId="41" xfId="0" applyFont="1" applyBorder="1"/>
    <xf numFmtId="0" fontId="3" fillId="0" borderId="42" xfId="0" applyFont="1" applyBorder="1"/>
    <xf numFmtId="0" fontId="3" fillId="0" borderId="20" xfId="0" applyFont="1" applyBorder="1" applyAlignment="1">
      <alignment horizontal="center"/>
    </xf>
    <xf numFmtId="0" fontId="3" fillId="0" borderId="7" xfId="0" applyFont="1" applyBorder="1"/>
    <xf numFmtId="0" fontId="3" fillId="0" borderId="15" xfId="0" applyFont="1" applyBorder="1"/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0" fillId="0" borderId="8" xfId="0" quotePrefix="1" applyFont="1" applyBorder="1" applyAlignment="1">
      <alignment horizontal="right" vertical="center"/>
    </xf>
    <xf numFmtId="0" fontId="0" fillId="0" borderId="1" xfId="0" quotePrefix="1" applyFont="1" applyBorder="1" applyAlignment="1">
      <alignment horizontal="right" vertical="center"/>
    </xf>
    <xf numFmtId="0" fontId="0" fillId="0" borderId="38" xfId="0" quotePrefix="1" applyFont="1" applyBorder="1" applyAlignment="1">
      <alignment horizontal="right" vertical="center"/>
    </xf>
    <xf numFmtId="0" fontId="0" fillId="0" borderId="12" xfId="0" quotePrefix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8" xfId="0" quotePrefix="1" applyFont="1" applyBorder="1" applyAlignment="1" applyProtection="1">
      <alignment horizontal="right" vertical="center"/>
      <protection locked="0"/>
    </xf>
    <xf numFmtId="0" fontId="3" fillId="0" borderId="1" xfId="0" quotePrefix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9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8" xfId="0" quotePrefix="1" applyFont="1" applyBorder="1" applyAlignment="1" applyProtection="1">
      <alignment horizontal="right" vertical="center"/>
      <protection locked="0"/>
    </xf>
    <xf numFmtId="0" fontId="5" fillId="0" borderId="40" xfId="0" applyFont="1" applyBorder="1" applyAlignment="1">
      <alignment vertical="center"/>
    </xf>
    <xf numFmtId="0" fontId="5" fillId="0" borderId="1" xfId="0" quotePrefix="1" applyFont="1" applyBorder="1" applyAlignment="1" applyProtection="1">
      <alignment horizontal="right" vertical="center"/>
      <protection locked="0"/>
    </xf>
    <xf numFmtId="0" fontId="5" fillId="0" borderId="41" xfId="0" applyFont="1" applyBorder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39" xfId="0" applyFont="1" applyBorder="1" applyAlignment="1" applyProtection="1">
      <alignment vertical="center"/>
      <protection locked="0"/>
    </xf>
    <xf numFmtId="0" fontId="5" fillId="0" borderId="5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37" xfId="0" quotePrefix="1" applyFont="1" applyBorder="1" applyAlignment="1" applyProtection="1">
      <alignment horizontal="right" vertical="center"/>
      <protection locked="0"/>
    </xf>
    <xf numFmtId="0" fontId="5" fillId="0" borderId="14" xfId="0" quotePrefix="1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8" fillId="7" borderId="0" xfId="0" applyFont="1" applyFill="1" applyAlignment="1">
      <alignment vertical="center" wrapText="1"/>
    </xf>
    <xf numFmtId="14" fontId="8" fillId="7" borderId="0" xfId="0" applyNumberFormat="1" applyFont="1" applyFill="1" applyAlignment="1">
      <alignment vertical="center" wrapText="1"/>
    </xf>
    <xf numFmtId="0" fontId="8" fillId="8" borderId="0" xfId="0" applyFont="1" applyFill="1" applyAlignment="1">
      <alignment vertical="center" wrapText="1"/>
    </xf>
    <xf numFmtId="14" fontId="8" fillId="8" borderId="0" xfId="0" applyNumberFormat="1" applyFont="1" applyFill="1" applyAlignment="1">
      <alignment vertical="center" wrapText="1"/>
    </xf>
    <xf numFmtId="0" fontId="3" fillId="0" borderId="34" xfId="0" applyFont="1" applyBorder="1" applyAlignment="1">
      <alignment vertical="center"/>
    </xf>
    <xf numFmtId="0" fontId="3" fillId="0" borderId="37" xfId="0" quotePrefix="1" applyFont="1" applyBorder="1" applyAlignment="1" applyProtection="1">
      <alignment horizontal="right" vertical="center"/>
      <protection locked="0"/>
    </xf>
    <xf numFmtId="0" fontId="3" fillId="0" borderId="14" xfId="0" quotePrefix="1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5" fillId="0" borderId="34" xfId="0" applyFont="1" applyBorder="1" applyAlignment="1">
      <alignment vertical="center"/>
    </xf>
    <xf numFmtId="0" fontId="0" fillId="2" borderId="1" xfId="0" applyFill="1" applyBorder="1" applyProtection="1">
      <protection locked="0"/>
    </xf>
    <xf numFmtId="0" fontId="0" fillId="5" borderId="46" xfId="0" applyFill="1" applyBorder="1" applyProtection="1">
      <protection locked="0"/>
    </xf>
    <xf numFmtId="0" fontId="0" fillId="5" borderId="31" xfId="0" applyFill="1" applyBorder="1" applyProtection="1">
      <protection locked="0"/>
    </xf>
    <xf numFmtId="0" fontId="3" fillId="0" borderId="3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38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33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39" xfId="0" applyFont="1" applyBorder="1" applyProtection="1">
      <protection locked="0"/>
    </xf>
    <xf numFmtId="0" fontId="3" fillId="0" borderId="54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30" xfId="0" applyFont="1" applyBorder="1" applyProtection="1">
      <protection locked="0"/>
    </xf>
    <xf numFmtId="0" fontId="3" fillId="0" borderId="47" xfId="0" applyFont="1" applyBorder="1"/>
    <xf numFmtId="0" fontId="3" fillId="0" borderId="37" xfId="0" applyFont="1" applyBorder="1"/>
    <xf numFmtId="0" fontId="3" fillId="0" borderId="50" xfId="0" applyFont="1" applyBorder="1"/>
    <xf numFmtId="0" fontId="3" fillId="0" borderId="9" xfId="0" applyFont="1" applyBorder="1"/>
    <xf numFmtId="0" fontId="3" fillId="0" borderId="17" xfId="0" applyFont="1" applyBorder="1"/>
    <xf numFmtId="0" fontId="2" fillId="0" borderId="0" xfId="0" applyFont="1" applyAlignment="1" applyProtection="1">
      <alignment horizontal="center"/>
    </xf>
    <xf numFmtId="0" fontId="0" fillId="0" borderId="63" xfId="0" applyFill="1" applyBorder="1" applyProtection="1"/>
    <xf numFmtId="0" fontId="0" fillId="0" borderId="41" xfId="0" applyBorder="1" applyProtection="1"/>
    <xf numFmtId="0" fontId="0" fillId="0" borderId="42" xfId="0" applyBorder="1" applyProtection="1"/>
    <xf numFmtId="0" fontId="0" fillId="0" borderId="20" xfId="0" applyFill="1" applyBorder="1" applyProtection="1"/>
    <xf numFmtId="0" fontId="0" fillId="0" borderId="40" xfId="0" applyBorder="1" applyProtection="1"/>
    <xf numFmtId="0" fontId="3" fillId="0" borderId="46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3" fillId="0" borderId="54" xfId="0" applyFont="1" applyBorder="1" applyAlignment="1" applyProtection="1">
      <alignment vertical="center"/>
      <protection locked="0"/>
    </xf>
    <xf numFmtId="0" fontId="5" fillId="0" borderId="41" xfId="0" applyFont="1" applyBorder="1" applyAlignment="1" applyProtection="1">
      <alignment vertical="center"/>
      <protection locked="0"/>
    </xf>
    <xf numFmtId="0" fontId="0" fillId="0" borderId="7" xfId="0" applyBorder="1" applyProtection="1"/>
    <xf numFmtId="0" fontId="0" fillId="0" borderId="8" xfId="0" applyBorder="1" applyProtection="1"/>
    <xf numFmtId="0" fontId="0" fillId="6" borderId="9" xfId="0" applyFill="1" applyBorder="1" applyProtection="1"/>
    <xf numFmtId="0" fontId="0" fillId="0" borderId="51" xfId="0" applyBorder="1" applyProtection="1"/>
    <xf numFmtId="0" fontId="0" fillId="0" borderId="10" xfId="0" applyBorder="1" applyProtection="1"/>
    <xf numFmtId="0" fontId="0" fillId="6" borderId="11" xfId="0" applyFill="1" applyBorder="1" applyProtection="1"/>
    <xf numFmtId="0" fontId="0" fillId="0" borderId="13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6" borderId="17" xfId="0" applyFill="1" applyBorder="1" applyProtection="1"/>
    <xf numFmtId="0" fontId="0" fillId="0" borderId="52" xfId="0" applyBorder="1" applyProtection="1"/>
    <xf numFmtId="0" fontId="0" fillId="0" borderId="24" xfId="0" applyFill="1" applyBorder="1" applyProtection="1"/>
    <xf numFmtId="0" fontId="0" fillId="0" borderId="60" xfId="0" applyBorder="1" applyProtection="1"/>
    <xf numFmtId="0" fontId="0" fillId="0" borderId="61" xfId="0" applyBorder="1" applyProtection="1"/>
    <xf numFmtId="0" fontId="0" fillId="6" borderId="62" xfId="0" applyFill="1" applyBorder="1" applyProtection="1"/>
    <xf numFmtId="0" fontId="0" fillId="9" borderId="25" xfId="0" applyFill="1" applyBorder="1" applyProtection="1"/>
    <xf numFmtId="0" fontId="5" fillId="0" borderId="38" xfId="0" quotePrefix="1" applyFont="1" applyBorder="1" applyAlignment="1" applyProtection="1">
      <alignment horizontal="right" vertical="center"/>
      <protection locked="0"/>
    </xf>
    <xf numFmtId="0" fontId="5" fillId="0" borderId="12" xfId="0" quotePrefix="1" applyFont="1" applyBorder="1" applyAlignment="1" applyProtection="1">
      <alignment horizontal="right" vertical="center"/>
      <protection locked="0"/>
    </xf>
    <xf numFmtId="49" fontId="0" fillId="0" borderId="0" xfId="0" applyNumberFormat="1" applyBorder="1" applyProtection="1"/>
    <xf numFmtId="0" fontId="9" fillId="7" borderId="0" xfId="0" applyFont="1" applyFill="1" applyAlignment="1">
      <alignment vertical="center" wrapText="1"/>
    </xf>
    <xf numFmtId="0" fontId="9" fillId="1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3" fillId="0" borderId="19" xfId="0" applyFont="1" applyBorder="1" applyProtection="1">
      <protection locked="0"/>
    </xf>
    <xf numFmtId="0" fontId="5" fillId="0" borderId="19" xfId="0" applyFont="1" applyBorder="1" applyProtection="1">
      <protection locked="0"/>
    </xf>
    <xf numFmtId="0" fontId="5" fillId="0" borderId="6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4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64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20" fontId="0" fillId="0" borderId="0" xfId="0" applyNumberFormat="1"/>
    <xf numFmtId="164" fontId="0" fillId="0" borderId="0" xfId="0" applyNumberFormat="1"/>
    <xf numFmtId="164" fontId="0" fillId="0" borderId="0" xfId="0" applyNumberFormat="1" applyBorder="1" applyProtection="1"/>
    <xf numFmtId="14" fontId="0" fillId="0" borderId="12" xfId="0" applyNumberFormat="1" applyFill="1" applyBorder="1" applyAlignment="1" applyProtection="1">
      <alignment horizontal="left"/>
    </xf>
    <xf numFmtId="0" fontId="0" fillId="2" borderId="3" xfId="0" applyFill="1" applyBorder="1" applyProtection="1">
      <protection locked="0"/>
    </xf>
    <xf numFmtId="165" fontId="0" fillId="0" borderId="14" xfId="0" applyNumberFormat="1" applyFill="1" applyBorder="1" applyAlignment="1" applyProtection="1">
      <alignment horizontal="left"/>
    </xf>
    <xf numFmtId="164" fontId="5" fillId="0" borderId="24" xfId="0" applyNumberFormat="1" applyFont="1" applyBorder="1" applyAlignment="1">
      <alignment horizontal="left"/>
    </xf>
    <xf numFmtId="165" fontId="5" fillId="0" borderId="26" xfId="0" applyNumberFormat="1" applyFont="1" applyBorder="1" applyAlignment="1">
      <alignment horizontal="left"/>
    </xf>
    <xf numFmtId="164" fontId="5" fillId="0" borderId="56" xfId="0" applyNumberFormat="1" applyFont="1" applyBorder="1" applyAlignment="1">
      <alignment horizontal="left"/>
    </xf>
    <xf numFmtId="165" fontId="5" fillId="0" borderId="67" xfId="0" applyNumberFormat="1" applyFont="1" applyBorder="1" applyAlignment="1">
      <alignment horizontal="left"/>
    </xf>
    <xf numFmtId="165" fontId="5" fillId="0" borderId="57" xfId="0" applyNumberFormat="1" applyFont="1" applyBorder="1" applyAlignment="1">
      <alignment horizontal="left"/>
    </xf>
    <xf numFmtId="0" fontId="3" fillId="0" borderId="31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48" xfId="0" applyFont="1" applyBorder="1" applyAlignment="1" applyProtection="1">
      <alignment horizontal="left"/>
      <protection locked="0"/>
    </xf>
    <xf numFmtId="0" fontId="6" fillId="0" borderId="46" xfId="0" applyFont="1" applyBorder="1" applyProtection="1">
      <protection locked="0"/>
    </xf>
    <xf numFmtId="0" fontId="5" fillId="0" borderId="46" xfId="0" applyFont="1" applyBorder="1" applyProtection="1">
      <protection locked="0"/>
    </xf>
    <xf numFmtId="164" fontId="3" fillId="0" borderId="24" xfId="0" applyNumberFormat="1" applyFont="1" applyBorder="1" applyAlignment="1">
      <alignment horizontal="left"/>
    </xf>
    <xf numFmtId="165" fontId="3" fillId="0" borderId="26" xfId="0" applyNumberFormat="1" applyFont="1" applyBorder="1" applyAlignment="1">
      <alignment horizontal="left"/>
    </xf>
    <xf numFmtId="0" fontId="0" fillId="2" borderId="1" xfId="0" applyFont="1" applyFill="1" applyBorder="1" applyProtection="1">
      <protection locked="0"/>
    </xf>
    <xf numFmtId="0" fontId="0" fillId="0" borderId="12" xfId="0" applyFill="1" applyBorder="1" applyAlignment="1" applyProtection="1">
      <alignment horizontal="left"/>
    </xf>
    <xf numFmtId="0" fontId="0" fillId="0" borderId="13" xfId="0" applyFill="1" applyBorder="1" applyAlignment="1" applyProtection="1">
      <alignment horizontal="left"/>
    </xf>
    <xf numFmtId="0" fontId="0" fillId="0" borderId="14" xfId="0" applyFill="1" applyBorder="1" applyAlignment="1" applyProtection="1">
      <alignment horizontal="left"/>
    </xf>
    <xf numFmtId="0" fontId="0" fillId="3" borderId="1" xfId="0" applyFill="1" applyBorder="1" applyAlignment="1" applyProtection="1">
      <alignment horizontal="center"/>
    </xf>
    <xf numFmtId="0" fontId="0" fillId="0" borderId="12" xfId="0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164" fontId="0" fillId="0" borderId="12" xfId="0" applyNumberFormat="1" applyFill="1" applyBorder="1" applyAlignment="1" applyProtection="1">
      <alignment horizontal="left"/>
    </xf>
    <xf numFmtId="164" fontId="0" fillId="0" borderId="14" xfId="0" applyNumberFormat="1" applyFill="1" applyBorder="1" applyAlignment="1" applyProtection="1">
      <alignment horizontal="left"/>
    </xf>
    <xf numFmtId="14" fontId="0" fillId="0" borderId="35" xfId="0" applyNumberFormat="1" applyFill="1" applyBorder="1" applyAlignment="1" applyProtection="1">
      <alignment horizontal="left"/>
    </xf>
    <xf numFmtId="14" fontId="0" fillId="0" borderId="1" xfId="0" applyNumberFormat="1" applyFill="1" applyBorder="1" applyAlignment="1" applyProtection="1">
      <alignment horizontal="left"/>
    </xf>
    <xf numFmtId="14" fontId="0" fillId="0" borderId="3" xfId="0" applyNumberFormat="1" applyFill="1" applyBorder="1" applyAlignment="1" applyProtection="1">
      <alignment horizontal="left"/>
    </xf>
    <xf numFmtId="0" fontId="0" fillId="0" borderId="3" xfId="0" applyFill="1" applyBorder="1" applyAlignment="1" applyProtection="1">
      <alignment horizontal="left"/>
    </xf>
    <xf numFmtId="0" fontId="0" fillId="4" borderId="12" xfId="0" applyFill="1" applyBorder="1" applyAlignment="1" applyProtection="1">
      <alignment horizontal="left"/>
    </xf>
    <xf numFmtId="0" fontId="0" fillId="4" borderId="13" xfId="0" applyFill="1" applyBorder="1" applyAlignment="1" applyProtection="1">
      <alignment horizontal="left"/>
    </xf>
    <xf numFmtId="0" fontId="0" fillId="4" borderId="14" xfId="0" applyFill="1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4" fillId="0" borderId="2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25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46" xfId="0" applyFont="1" applyBorder="1" applyAlignment="1" applyProtection="1">
      <alignment horizontal="left"/>
      <protection locked="0"/>
    </xf>
    <xf numFmtId="0" fontId="3" fillId="0" borderId="51" xfId="0" applyFont="1" applyBorder="1" applyAlignment="1" applyProtection="1">
      <alignment horizontal="left"/>
      <protection locked="0"/>
    </xf>
    <xf numFmtId="0" fontId="3" fillId="0" borderId="47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0" borderId="46" xfId="0" applyFont="1" applyBorder="1" applyAlignment="1" applyProtection="1">
      <alignment horizontal="left"/>
      <protection locked="0"/>
    </xf>
    <xf numFmtId="0" fontId="6" fillId="0" borderId="51" xfId="0" applyFont="1" applyBorder="1" applyAlignment="1" applyProtection="1">
      <alignment horizontal="left"/>
      <protection locked="0"/>
    </xf>
    <xf numFmtId="0" fontId="6" fillId="0" borderId="47" xfId="0" applyFont="1" applyBorder="1" applyAlignment="1" applyProtection="1">
      <alignment horizontal="left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32" xfId="0" applyFont="1" applyBorder="1" applyAlignment="1" applyProtection="1">
      <alignment horizontal="center" vertical="center"/>
    </xf>
    <xf numFmtId="0" fontId="5" fillId="0" borderId="52" xfId="0" applyFont="1" applyBorder="1" applyAlignment="1" applyProtection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46" xfId="0" applyFont="1" applyBorder="1" applyAlignment="1" applyProtection="1">
      <alignment horizontal="left"/>
      <protection locked="0"/>
    </xf>
    <xf numFmtId="0" fontId="5" fillId="0" borderId="51" xfId="0" applyFont="1" applyBorder="1" applyAlignment="1" applyProtection="1">
      <alignment horizontal="left"/>
      <protection locked="0"/>
    </xf>
    <xf numFmtId="0" fontId="5" fillId="0" borderId="47" xfId="0" applyFont="1" applyBorder="1" applyAlignment="1" applyProtection="1">
      <alignment horizontal="left"/>
      <protection locked="0"/>
    </xf>
    <xf numFmtId="0" fontId="5" fillId="0" borderId="5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281940</xdr:colOff>
      <xdr:row>20</xdr:row>
      <xdr:rowOff>133350</xdr:rowOff>
    </xdr:from>
    <xdr:to>
      <xdr:col>10</xdr:col>
      <xdr:colOff>451484</xdr:colOff>
      <xdr:row>29</xdr:row>
      <xdr:rowOff>40766</xdr:rowOff>
    </xdr:to>
    <xdr:pic>
      <xdr:nvPicPr>
        <xdr:cNvPr id="2" name="Billed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3880" y="4232910"/>
          <a:ext cx="1183004" cy="1682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workbookViewId="0">
      <pane ySplit="1" topLeftCell="A13" activePane="bottomLeft" state="frozen"/>
      <selection pane="bottomLeft" activeCell="J28" sqref="J28"/>
    </sheetView>
  </sheetViews>
  <sheetFormatPr defaultRowHeight="14.4" x14ac:dyDescent="0.3"/>
  <cols>
    <col min="1" max="1" width="10" style="7" bestFit="1" customWidth="1"/>
    <col min="2" max="2" width="12.6640625" style="7" bestFit="1" customWidth="1"/>
    <col min="3" max="3" width="13.109375" style="7" bestFit="1" customWidth="1"/>
    <col min="4" max="4" width="5.6640625" style="196" bestFit="1" customWidth="1"/>
    <col min="5" max="5" width="7.88671875" style="7" bestFit="1" customWidth="1"/>
    <col min="6" max="6" width="23.5546875" style="8" bestFit="1" customWidth="1"/>
    <col min="7" max="7" width="17.44140625" style="15" bestFit="1" customWidth="1"/>
    <col min="8" max="8" width="9.44140625" style="15" bestFit="1" customWidth="1"/>
    <col min="9" max="12" width="9.5546875" style="15" bestFit="1" customWidth="1"/>
    <col min="13" max="14" width="9.5546875" style="15" customWidth="1"/>
    <col min="15" max="15" width="8.77734375" style="7" hidden="1" customWidth="1"/>
    <col min="16" max="16" width="12.109375" style="7" hidden="1" customWidth="1"/>
    <col min="17" max="17" width="15.109375" style="7" hidden="1" customWidth="1"/>
    <col min="18" max="18" width="7.88671875" style="7" hidden="1" customWidth="1"/>
    <col min="19" max="19" width="10.88671875" style="7" hidden="1" customWidth="1"/>
    <col min="20" max="21" width="15.109375" style="7" hidden="1" customWidth="1"/>
    <col min="22" max="22" width="8.88671875" style="15" customWidth="1"/>
    <col min="23" max="27" width="8.88671875" style="7" customWidth="1"/>
    <col min="28" max="28" width="24.44140625" style="7" bestFit="1" customWidth="1"/>
    <col min="29" max="29" width="12.88671875" style="214" bestFit="1" customWidth="1"/>
    <col min="30" max="16384" width="8.88671875" style="7"/>
  </cols>
  <sheetData>
    <row r="1" spans="1:30" x14ac:dyDescent="0.3">
      <c r="A1" s="7" t="s">
        <v>44</v>
      </c>
      <c r="B1" s="7" t="s">
        <v>66</v>
      </c>
      <c r="C1" s="7" t="s">
        <v>9</v>
      </c>
      <c r="D1" s="196" t="s">
        <v>45</v>
      </c>
      <c r="E1" s="7" t="s">
        <v>10</v>
      </c>
      <c r="F1" s="7" t="s">
        <v>11</v>
      </c>
      <c r="G1" s="15" t="s">
        <v>36</v>
      </c>
      <c r="H1" s="7" t="s">
        <v>37</v>
      </c>
      <c r="I1" s="7" t="s">
        <v>38</v>
      </c>
      <c r="J1" s="7" t="s">
        <v>39</v>
      </c>
      <c r="K1" s="7" t="s">
        <v>40</v>
      </c>
      <c r="L1" s="7" t="s">
        <v>41</v>
      </c>
      <c r="M1" s="7" t="s">
        <v>42</v>
      </c>
      <c r="N1" s="7" t="s">
        <v>43</v>
      </c>
      <c r="O1" s="8" t="s">
        <v>69</v>
      </c>
      <c r="P1" s="8" t="s">
        <v>70</v>
      </c>
      <c r="Q1" s="8" t="s">
        <v>72</v>
      </c>
      <c r="R1" s="8" t="s">
        <v>73</v>
      </c>
      <c r="S1" s="7" t="s">
        <v>91</v>
      </c>
      <c r="T1" s="7" t="s">
        <v>92</v>
      </c>
      <c r="U1" s="7" t="s">
        <v>104</v>
      </c>
      <c r="V1" s="200" t="s">
        <v>273</v>
      </c>
      <c r="X1"/>
      <c r="Y1"/>
      <c r="Z1"/>
      <c r="AA1"/>
      <c r="AB1"/>
      <c r="AC1" s="213"/>
      <c r="AD1"/>
    </row>
    <row r="2" spans="1:30" x14ac:dyDescent="0.3">
      <c r="A2">
        <v>389650</v>
      </c>
      <c r="B2" s="8" t="s">
        <v>229</v>
      </c>
      <c r="C2" s="213">
        <v>44128</v>
      </c>
      <c r="D2" s="212">
        <v>0.64583333333333337</v>
      </c>
      <c r="E2" s="8" t="s">
        <v>6</v>
      </c>
      <c r="F2" s="199" t="s">
        <v>230</v>
      </c>
      <c r="G2" s="200"/>
      <c r="H2" s="147" t="s">
        <v>50</v>
      </c>
      <c r="I2" s="147" t="s">
        <v>52</v>
      </c>
      <c r="J2" s="147" t="s">
        <v>53</v>
      </c>
      <c r="K2" s="147" t="s">
        <v>51</v>
      </c>
      <c r="L2" s="147" t="s">
        <v>54</v>
      </c>
      <c r="M2" s="147" t="s">
        <v>49</v>
      </c>
      <c r="N2" s="147" t="s">
        <v>201</v>
      </c>
      <c r="O2" s="8">
        <v>840</v>
      </c>
      <c r="P2" s="7">
        <v>144</v>
      </c>
      <c r="Q2" s="8">
        <v>6</v>
      </c>
      <c r="R2" s="8">
        <v>4</v>
      </c>
      <c r="S2" s="8" t="s">
        <v>250</v>
      </c>
      <c r="T2" t="s">
        <v>98</v>
      </c>
      <c r="U2" t="s">
        <v>177</v>
      </c>
      <c r="X2"/>
      <c r="Y2" s="8"/>
      <c r="Z2"/>
      <c r="AA2"/>
      <c r="AB2"/>
      <c r="AC2" s="213"/>
      <c r="AD2" s="212"/>
    </row>
    <row r="3" spans="1:30" x14ac:dyDescent="0.3">
      <c r="A3">
        <v>389654</v>
      </c>
      <c r="B3" s="8" t="s">
        <v>229</v>
      </c>
      <c r="C3" s="213">
        <v>44289</v>
      </c>
      <c r="D3" s="212">
        <v>0.45833333333333331</v>
      </c>
      <c r="E3" s="8" t="s">
        <v>5</v>
      </c>
      <c r="F3" s="199" t="s">
        <v>231</v>
      </c>
      <c r="G3" s="200"/>
      <c r="H3" s="147" t="s">
        <v>50</v>
      </c>
      <c r="I3" s="147" t="s">
        <v>52</v>
      </c>
      <c r="J3" s="147" t="s">
        <v>53</v>
      </c>
      <c r="K3" s="147" t="s">
        <v>201</v>
      </c>
      <c r="L3" s="147" t="s">
        <v>54</v>
      </c>
      <c r="M3" s="147" t="s">
        <v>49</v>
      </c>
      <c r="N3" s="147"/>
      <c r="O3" s="7">
        <v>800</v>
      </c>
      <c r="P3" s="7">
        <v>144</v>
      </c>
      <c r="Q3" s="8">
        <v>6</v>
      </c>
      <c r="R3" s="8">
        <v>4</v>
      </c>
      <c r="S3" s="8" t="s">
        <v>250</v>
      </c>
      <c r="T3" t="s">
        <v>100</v>
      </c>
      <c r="U3" t="s">
        <v>177</v>
      </c>
      <c r="X3"/>
      <c r="Y3" s="8"/>
      <c r="Z3"/>
      <c r="AA3"/>
      <c r="AB3"/>
      <c r="AC3" s="213"/>
      <c r="AD3" s="212"/>
    </row>
    <row r="4" spans="1:30" x14ac:dyDescent="0.3">
      <c r="A4">
        <v>389658</v>
      </c>
      <c r="B4" s="8" t="s">
        <v>229</v>
      </c>
      <c r="C4" s="213">
        <v>44318</v>
      </c>
      <c r="D4" s="212">
        <v>0.52083333333333337</v>
      </c>
      <c r="E4" s="8" t="s">
        <v>175</v>
      </c>
      <c r="F4" s="199" t="s">
        <v>232</v>
      </c>
      <c r="G4" s="200"/>
      <c r="H4" s="147" t="s">
        <v>50</v>
      </c>
      <c r="I4" s="147" t="s">
        <v>52</v>
      </c>
      <c r="J4" s="147" t="s">
        <v>53</v>
      </c>
      <c r="K4" s="147" t="s">
        <v>201</v>
      </c>
      <c r="L4" s="147" t="s">
        <v>54</v>
      </c>
      <c r="M4" s="147" t="s">
        <v>49</v>
      </c>
      <c r="N4" s="147"/>
      <c r="O4" s="8">
        <v>775</v>
      </c>
      <c r="P4" s="7">
        <v>144</v>
      </c>
      <c r="Q4" s="8">
        <v>6</v>
      </c>
      <c r="R4" s="8">
        <v>4</v>
      </c>
      <c r="S4" s="8" t="s">
        <v>250</v>
      </c>
      <c r="T4" t="s">
        <v>242</v>
      </c>
      <c r="U4" t="s">
        <v>177</v>
      </c>
      <c r="X4"/>
      <c r="Y4" s="8"/>
      <c r="Z4"/>
      <c r="AA4"/>
      <c r="AB4"/>
      <c r="AC4" s="213"/>
      <c r="AD4" s="212"/>
    </row>
    <row r="5" spans="1:30" x14ac:dyDescent="0.3">
      <c r="A5">
        <v>389660</v>
      </c>
      <c r="B5" s="8" t="s">
        <v>229</v>
      </c>
      <c r="C5" s="213">
        <v>44311</v>
      </c>
      <c r="D5" s="212">
        <v>0.52083333333333337</v>
      </c>
      <c r="E5" s="8" t="s">
        <v>5</v>
      </c>
      <c r="F5" s="199" t="s">
        <v>233</v>
      </c>
      <c r="G5" s="200" t="s">
        <v>49</v>
      </c>
      <c r="H5" s="147" t="s">
        <v>50</v>
      </c>
      <c r="I5" s="147" t="s">
        <v>52</v>
      </c>
      <c r="J5" s="147" t="s">
        <v>53</v>
      </c>
      <c r="K5" s="147" t="s">
        <v>51</v>
      </c>
      <c r="L5" s="147" t="s">
        <v>54</v>
      </c>
      <c r="M5" s="147" t="s">
        <v>49</v>
      </c>
      <c r="N5" s="147" t="s">
        <v>201</v>
      </c>
      <c r="O5" s="7">
        <v>800</v>
      </c>
      <c r="P5" s="7">
        <v>144</v>
      </c>
      <c r="Q5" s="7">
        <v>6</v>
      </c>
      <c r="R5" s="8">
        <v>4</v>
      </c>
      <c r="S5" s="8" t="s">
        <v>250</v>
      </c>
      <c r="T5" t="s">
        <v>84</v>
      </c>
      <c r="U5" t="s">
        <v>101</v>
      </c>
      <c r="X5"/>
      <c r="Y5" s="8"/>
      <c r="Z5"/>
      <c r="AA5"/>
      <c r="AB5"/>
      <c r="AC5" s="213"/>
      <c r="AD5" s="212"/>
    </row>
    <row r="6" spans="1:30" x14ac:dyDescent="0.3">
      <c r="A6">
        <v>389663</v>
      </c>
      <c r="B6" s="8" t="s">
        <v>229</v>
      </c>
      <c r="C6" s="213">
        <v>44199</v>
      </c>
      <c r="D6" s="212">
        <v>0.64583333333333337</v>
      </c>
      <c r="E6" s="8" t="s">
        <v>5</v>
      </c>
      <c r="F6" s="199" t="s">
        <v>234</v>
      </c>
      <c r="G6" s="200" t="s">
        <v>49</v>
      </c>
      <c r="H6" s="147" t="s">
        <v>50</v>
      </c>
      <c r="I6" s="147" t="s">
        <v>52</v>
      </c>
      <c r="J6" s="147" t="s">
        <v>53</v>
      </c>
      <c r="K6" s="147" t="s">
        <v>51</v>
      </c>
      <c r="L6" s="147" t="s">
        <v>54</v>
      </c>
      <c r="M6" s="147" t="s">
        <v>49</v>
      </c>
      <c r="N6" s="147" t="s">
        <v>201</v>
      </c>
      <c r="O6" s="7">
        <v>800</v>
      </c>
      <c r="P6" s="7">
        <v>144</v>
      </c>
      <c r="Q6" s="7">
        <v>6</v>
      </c>
      <c r="R6" s="8">
        <v>4</v>
      </c>
      <c r="S6" s="8" t="s">
        <v>250</v>
      </c>
      <c r="T6" t="s">
        <v>84</v>
      </c>
      <c r="U6" t="s">
        <v>184</v>
      </c>
      <c r="X6"/>
      <c r="Y6" s="8"/>
      <c r="Z6"/>
      <c r="AA6"/>
      <c r="AB6"/>
      <c r="AC6" s="213"/>
      <c r="AD6" s="212"/>
    </row>
    <row r="7" spans="1:30" x14ac:dyDescent="0.3">
      <c r="A7">
        <v>389665</v>
      </c>
      <c r="B7" s="8" t="s">
        <v>229</v>
      </c>
      <c r="C7" s="213">
        <v>44219</v>
      </c>
      <c r="D7" s="212">
        <v>0.375</v>
      </c>
      <c r="E7" s="8" t="s">
        <v>175</v>
      </c>
      <c r="F7" s="199" t="s">
        <v>235</v>
      </c>
      <c r="G7" s="200"/>
      <c r="H7" s="147" t="s">
        <v>50</v>
      </c>
      <c r="I7" s="147" t="s">
        <v>52</v>
      </c>
      <c r="J7" s="147" t="s">
        <v>53</v>
      </c>
      <c r="K7" s="147" t="s">
        <v>51</v>
      </c>
      <c r="L7" s="147" t="s">
        <v>54</v>
      </c>
      <c r="M7" s="147" t="s">
        <v>49</v>
      </c>
      <c r="N7" s="147" t="s">
        <v>201</v>
      </c>
      <c r="O7" s="8">
        <v>775</v>
      </c>
      <c r="P7" s="7">
        <v>144</v>
      </c>
      <c r="Q7" s="7">
        <v>6</v>
      </c>
      <c r="R7" s="8">
        <v>4</v>
      </c>
      <c r="S7" s="8" t="s">
        <v>250</v>
      </c>
      <c r="T7" t="s">
        <v>102</v>
      </c>
      <c r="U7" t="s">
        <v>177</v>
      </c>
      <c r="X7"/>
      <c r="Y7" s="8"/>
      <c r="Z7"/>
      <c r="AA7"/>
      <c r="AB7"/>
      <c r="AC7" s="213"/>
      <c r="AD7" s="212"/>
    </row>
    <row r="8" spans="1:30" x14ac:dyDescent="0.3">
      <c r="A8">
        <v>389667</v>
      </c>
      <c r="B8" s="8" t="s">
        <v>229</v>
      </c>
      <c r="C8" s="213">
        <v>44226</v>
      </c>
      <c r="D8" s="212">
        <v>0.375</v>
      </c>
      <c r="E8" s="8" t="s">
        <v>5</v>
      </c>
      <c r="F8" s="199" t="s">
        <v>236</v>
      </c>
      <c r="G8" s="200" t="s">
        <v>49</v>
      </c>
      <c r="H8" s="147" t="s">
        <v>50</v>
      </c>
      <c r="I8" s="147" t="s">
        <v>52</v>
      </c>
      <c r="J8" s="147" t="s">
        <v>53</v>
      </c>
      <c r="K8" s="147" t="s">
        <v>51</v>
      </c>
      <c r="L8" s="147" t="s">
        <v>54</v>
      </c>
      <c r="M8" s="147" t="s">
        <v>49</v>
      </c>
      <c r="N8" s="147" t="s">
        <v>201</v>
      </c>
      <c r="O8" s="7">
        <v>800</v>
      </c>
      <c r="P8" s="7">
        <v>144</v>
      </c>
      <c r="Q8" s="7">
        <v>6</v>
      </c>
      <c r="R8" s="8">
        <v>4</v>
      </c>
      <c r="S8" s="8" t="s">
        <v>250</v>
      </c>
      <c r="T8" t="s">
        <v>84</v>
      </c>
      <c r="U8" t="s">
        <v>181</v>
      </c>
      <c r="X8"/>
      <c r="Y8" s="8"/>
      <c r="Z8"/>
      <c r="AA8"/>
      <c r="AB8"/>
      <c r="AC8" s="213"/>
      <c r="AD8" s="212"/>
    </row>
    <row r="9" spans="1:30" x14ac:dyDescent="0.3">
      <c r="A9">
        <v>389674</v>
      </c>
      <c r="B9" s="8" t="s">
        <v>229</v>
      </c>
      <c r="C9" s="213">
        <v>44282</v>
      </c>
      <c r="D9" s="212">
        <v>0.54166666666666663</v>
      </c>
      <c r="E9" s="8" t="s">
        <v>7</v>
      </c>
      <c r="F9" s="199" t="s">
        <v>241</v>
      </c>
      <c r="G9" s="200"/>
      <c r="H9" s="147" t="s">
        <v>50</v>
      </c>
      <c r="I9" s="147" t="s">
        <v>52</v>
      </c>
      <c r="J9" s="147" t="s">
        <v>53</v>
      </c>
      <c r="K9" s="147" t="s">
        <v>51</v>
      </c>
      <c r="L9" s="147" t="s">
        <v>54</v>
      </c>
      <c r="M9" s="147" t="s">
        <v>49</v>
      </c>
      <c r="N9" s="147" t="s">
        <v>201</v>
      </c>
      <c r="O9" s="7">
        <v>825</v>
      </c>
      <c r="P9" s="7">
        <v>144</v>
      </c>
      <c r="Q9" s="7">
        <v>6</v>
      </c>
      <c r="R9" s="8">
        <v>4</v>
      </c>
      <c r="S9" s="8" t="s">
        <v>250</v>
      </c>
      <c r="T9" t="s">
        <v>184</v>
      </c>
      <c r="U9" t="s">
        <v>84</v>
      </c>
      <c r="X9"/>
      <c r="Y9" s="8"/>
      <c r="Z9"/>
      <c r="AA9"/>
      <c r="AB9"/>
      <c r="AC9" s="213"/>
      <c r="AD9" s="212"/>
    </row>
    <row r="10" spans="1:30" x14ac:dyDescent="0.3">
      <c r="A10">
        <v>389681</v>
      </c>
      <c r="B10" s="8" t="s">
        <v>229</v>
      </c>
      <c r="C10" s="213">
        <v>44268</v>
      </c>
      <c r="D10" s="212">
        <v>0.375</v>
      </c>
      <c r="E10" s="8" t="s">
        <v>4</v>
      </c>
      <c r="F10" s="199" t="s">
        <v>237</v>
      </c>
      <c r="G10" s="200"/>
      <c r="H10" s="147" t="s">
        <v>50</v>
      </c>
      <c r="I10" s="147" t="s">
        <v>52</v>
      </c>
      <c r="J10" s="147" t="s">
        <v>53</v>
      </c>
      <c r="K10" s="147" t="s">
        <v>51</v>
      </c>
      <c r="L10" s="147" t="s">
        <v>54</v>
      </c>
      <c r="M10" s="147" t="s">
        <v>49</v>
      </c>
      <c r="N10" s="147" t="s">
        <v>201</v>
      </c>
      <c r="O10" s="7">
        <v>750</v>
      </c>
      <c r="P10" s="7">
        <v>144</v>
      </c>
      <c r="Q10" s="7">
        <v>6</v>
      </c>
      <c r="R10" s="8">
        <v>4</v>
      </c>
      <c r="S10" s="8" t="s">
        <v>250</v>
      </c>
      <c r="T10" t="s">
        <v>101</v>
      </c>
      <c r="U10" t="s">
        <v>177</v>
      </c>
      <c r="X10"/>
      <c r="Y10" s="8"/>
      <c r="Z10"/>
      <c r="AA10"/>
      <c r="AB10"/>
      <c r="AC10" s="213"/>
      <c r="AD10" s="212"/>
    </row>
    <row r="11" spans="1:30" x14ac:dyDescent="0.3">
      <c r="A11">
        <v>389683</v>
      </c>
      <c r="B11" s="8" t="s">
        <v>229</v>
      </c>
      <c r="C11" s="364">
        <v>44303</v>
      </c>
      <c r="D11" s="212">
        <v>0.375</v>
      </c>
      <c r="E11" s="8" t="s">
        <v>5</v>
      </c>
      <c r="F11" s="199" t="s">
        <v>238</v>
      </c>
      <c r="G11" s="200" t="s">
        <v>49</v>
      </c>
      <c r="H11" s="147" t="s">
        <v>50</v>
      </c>
      <c r="I11" s="147" t="s">
        <v>52</v>
      </c>
      <c r="J11" s="147" t="s">
        <v>53</v>
      </c>
      <c r="K11" s="147" t="s">
        <v>51</v>
      </c>
      <c r="L11" s="147" t="s">
        <v>54</v>
      </c>
      <c r="M11" s="147" t="s">
        <v>49</v>
      </c>
      <c r="N11" s="147" t="s">
        <v>201</v>
      </c>
      <c r="O11" s="7">
        <v>800</v>
      </c>
      <c r="P11" s="7">
        <v>144</v>
      </c>
      <c r="Q11" s="7">
        <v>6</v>
      </c>
      <c r="R11" s="8">
        <v>4</v>
      </c>
      <c r="S11" s="8" t="s">
        <v>250</v>
      </c>
      <c r="T11" t="s">
        <v>84</v>
      </c>
      <c r="U11" t="s">
        <v>178</v>
      </c>
      <c r="X11"/>
      <c r="Y11" s="8"/>
      <c r="Z11"/>
      <c r="AA11"/>
      <c r="AB11"/>
      <c r="AC11" s="213"/>
      <c r="AD11" s="212"/>
    </row>
    <row r="12" spans="1:30" x14ac:dyDescent="0.3">
      <c r="A12">
        <v>389685</v>
      </c>
      <c r="B12" s="8" t="s">
        <v>229</v>
      </c>
      <c r="C12" s="213">
        <v>44324</v>
      </c>
      <c r="D12" s="212">
        <v>0.375</v>
      </c>
      <c r="E12" s="8" t="s">
        <v>5</v>
      </c>
      <c r="F12" s="199" t="s">
        <v>239</v>
      </c>
      <c r="G12" s="200" t="s">
        <v>49</v>
      </c>
      <c r="H12" s="147" t="s">
        <v>50</v>
      </c>
      <c r="I12" s="147" t="s">
        <v>52</v>
      </c>
      <c r="J12" s="147" t="s">
        <v>53</v>
      </c>
      <c r="K12" s="147" t="s">
        <v>51</v>
      </c>
      <c r="L12" s="147" t="s">
        <v>54</v>
      </c>
      <c r="M12" s="147" t="s">
        <v>49</v>
      </c>
      <c r="N12" s="147" t="s">
        <v>201</v>
      </c>
      <c r="O12" s="7">
        <v>800</v>
      </c>
      <c r="P12" s="7">
        <v>144</v>
      </c>
      <c r="Q12" s="7">
        <v>6</v>
      </c>
      <c r="R12" s="8">
        <v>4</v>
      </c>
      <c r="S12" s="8" t="s">
        <v>250</v>
      </c>
      <c r="T12" t="s">
        <v>84</v>
      </c>
      <c r="U12" t="s">
        <v>242</v>
      </c>
      <c r="X12"/>
      <c r="Y12" s="8"/>
      <c r="Z12"/>
      <c r="AA12"/>
      <c r="AB12"/>
      <c r="AC12" s="213"/>
      <c r="AD12" s="212"/>
    </row>
    <row r="13" spans="1:30" x14ac:dyDescent="0.3">
      <c r="A13">
        <v>389690</v>
      </c>
      <c r="B13" s="8" t="s">
        <v>229</v>
      </c>
      <c r="C13" s="213">
        <v>44325</v>
      </c>
      <c r="D13" s="212">
        <v>0.625</v>
      </c>
      <c r="E13" s="8" t="s">
        <v>5</v>
      </c>
      <c r="F13" s="199" t="s">
        <v>240</v>
      </c>
      <c r="G13" s="200" t="s">
        <v>49</v>
      </c>
      <c r="H13" s="147" t="s">
        <v>50</v>
      </c>
      <c r="I13" s="147" t="s">
        <v>52</v>
      </c>
      <c r="J13" s="147" t="s">
        <v>53</v>
      </c>
      <c r="K13" s="147" t="s">
        <v>51</v>
      </c>
      <c r="L13" s="147" t="s">
        <v>54</v>
      </c>
      <c r="M13" s="147" t="s">
        <v>49</v>
      </c>
      <c r="N13" s="147" t="s">
        <v>201</v>
      </c>
      <c r="O13" s="7">
        <v>800</v>
      </c>
      <c r="P13" s="7">
        <v>144</v>
      </c>
      <c r="Q13" s="7">
        <v>6</v>
      </c>
      <c r="R13" s="8">
        <v>4</v>
      </c>
      <c r="S13" s="8" t="s">
        <v>250</v>
      </c>
      <c r="T13" t="s">
        <v>84</v>
      </c>
      <c r="U13" t="s">
        <v>176</v>
      </c>
      <c r="X13"/>
      <c r="Y13" s="8"/>
      <c r="Z13"/>
      <c r="AA13"/>
      <c r="AB13"/>
      <c r="AC13" s="213"/>
      <c r="AD13" s="212"/>
    </row>
    <row r="14" spans="1:30" x14ac:dyDescent="0.3">
      <c r="A14">
        <v>389779</v>
      </c>
      <c r="B14" s="8" t="s">
        <v>186</v>
      </c>
      <c r="C14" s="213">
        <v>44129</v>
      </c>
      <c r="D14" s="212">
        <v>0.5</v>
      </c>
      <c r="E14" s="8" t="s">
        <v>2</v>
      </c>
      <c r="F14" s="199" t="s">
        <v>187</v>
      </c>
      <c r="G14" s="200"/>
      <c r="H14" s="147" t="s">
        <v>48</v>
      </c>
      <c r="I14" s="147" t="s">
        <v>46</v>
      </c>
      <c r="J14" s="230" t="s">
        <v>65</v>
      </c>
      <c r="K14" s="147" t="s">
        <v>56</v>
      </c>
      <c r="L14" s="147" t="s">
        <v>196</v>
      </c>
      <c r="M14" s="147"/>
      <c r="N14" s="147"/>
      <c r="O14" s="7">
        <v>500</v>
      </c>
      <c r="P14" s="7">
        <v>96</v>
      </c>
      <c r="Q14" s="7">
        <v>4</v>
      </c>
      <c r="R14" s="7">
        <v>4</v>
      </c>
      <c r="S14" s="7" t="s">
        <v>246</v>
      </c>
      <c r="T14" t="s">
        <v>194</v>
      </c>
      <c r="U14" t="s">
        <v>84</v>
      </c>
      <c r="V14" s="200"/>
      <c r="X14"/>
      <c r="Y14" s="8"/>
      <c r="Z14"/>
      <c r="AA14"/>
      <c r="AB14"/>
      <c r="AC14" s="213"/>
      <c r="AD14" s="212"/>
    </row>
    <row r="15" spans="1:30" x14ac:dyDescent="0.3">
      <c r="A15">
        <v>389782</v>
      </c>
      <c r="B15" s="8" t="s">
        <v>186</v>
      </c>
      <c r="C15" s="213">
        <v>44164</v>
      </c>
      <c r="D15" s="212">
        <v>0.45833333333333331</v>
      </c>
      <c r="E15" s="8" t="s">
        <v>5</v>
      </c>
      <c r="F15" s="199" t="s">
        <v>269</v>
      </c>
      <c r="G15" s="200" t="s">
        <v>46</v>
      </c>
      <c r="H15" s="147" t="s">
        <v>56</v>
      </c>
      <c r="I15" s="147" t="s">
        <v>46</v>
      </c>
      <c r="J15" s="230" t="s">
        <v>196</v>
      </c>
      <c r="K15" s="147" t="s">
        <v>48</v>
      </c>
      <c r="L15" s="147" t="s">
        <v>65</v>
      </c>
      <c r="M15" s="147"/>
      <c r="N15" s="147"/>
      <c r="O15" s="7">
        <v>640</v>
      </c>
      <c r="P15" s="7">
        <v>96</v>
      </c>
      <c r="Q15" s="7">
        <v>4</v>
      </c>
      <c r="R15" s="7">
        <v>4</v>
      </c>
      <c r="S15" s="7" t="s">
        <v>246</v>
      </c>
      <c r="T15" t="s">
        <v>84</v>
      </c>
      <c r="U15" t="s">
        <v>185</v>
      </c>
      <c r="X15"/>
      <c r="Y15" s="8"/>
      <c r="Z15"/>
      <c r="AA15"/>
      <c r="AB15"/>
      <c r="AC15" s="213"/>
      <c r="AD15" s="212"/>
    </row>
    <row r="16" spans="1:30" x14ac:dyDescent="0.3">
      <c r="A16">
        <v>389784</v>
      </c>
      <c r="B16" s="8" t="s">
        <v>186</v>
      </c>
      <c r="C16" s="213">
        <v>44282</v>
      </c>
      <c r="D16" s="212">
        <v>0.52083333333333337</v>
      </c>
      <c r="E16" s="8" t="s">
        <v>5</v>
      </c>
      <c r="F16" s="199" t="s">
        <v>189</v>
      </c>
      <c r="G16" s="200" t="s">
        <v>46</v>
      </c>
      <c r="H16" s="147" t="s">
        <v>196</v>
      </c>
      <c r="I16" s="147" t="s">
        <v>46</v>
      </c>
      <c r="J16" s="230" t="s">
        <v>65</v>
      </c>
      <c r="K16" s="147" t="s">
        <v>48</v>
      </c>
      <c r="L16" s="147" t="s">
        <v>56</v>
      </c>
      <c r="M16" s="147"/>
      <c r="N16" s="147"/>
      <c r="O16" s="7">
        <v>640</v>
      </c>
      <c r="P16" s="7">
        <v>96</v>
      </c>
      <c r="Q16" s="7">
        <v>4</v>
      </c>
      <c r="R16" s="7">
        <v>4</v>
      </c>
      <c r="S16" s="7" t="s">
        <v>246</v>
      </c>
      <c r="T16" t="s">
        <v>84</v>
      </c>
      <c r="U16" t="s">
        <v>179</v>
      </c>
      <c r="X16"/>
      <c r="Y16" s="8"/>
      <c r="Z16"/>
      <c r="AA16"/>
      <c r="AB16"/>
      <c r="AC16" s="213"/>
      <c r="AD16" s="212"/>
    </row>
    <row r="17" spans="1:30" x14ac:dyDescent="0.3">
      <c r="A17">
        <v>389786</v>
      </c>
      <c r="B17" s="8" t="s">
        <v>186</v>
      </c>
      <c r="C17" s="213">
        <v>44199</v>
      </c>
      <c r="D17" s="212">
        <v>0.64583333333333337</v>
      </c>
      <c r="E17" s="8" t="s">
        <v>5</v>
      </c>
      <c r="F17" s="199" t="s">
        <v>190</v>
      </c>
      <c r="G17" s="200" t="s">
        <v>46</v>
      </c>
      <c r="H17" s="147" t="s">
        <v>56</v>
      </c>
      <c r="I17" s="147" t="s">
        <v>46</v>
      </c>
      <c r="J17" s="230" t="s">
        <v>196</v>
      </c>
      <c r="K17" s="147" t="s">
        <v>48</v>
      </c>
      <c r="L17" s="147"/>
      <c r="M17" s="147"/>
      <c r="N17" s="147"/>
      <c r="O17" s="8">
        <v>640</v>
      </c>
      <c r="P17" s="7">
        <v>96</v>
      </c>
      <c r="Q17" s="8">
        <v>4</v>
      </c>
      <c r="R17" s="8">
        <v>4</v>
      </c>
      <c r="S17" s="7" t="s">
        <v>246</v>
      </c>
      <c r="T17" t="s">
        <v>84</v>
      </c>
      <c r="U17" t="s">
        <v>195</v>
      </c>
      <c r="X17"/>
      <c r="Y17" s="8"/>
      <c r="Z17"/>
      <c r="AA17"/>
      <c r="AB17"/>
      <c r="AC17" s="213"/>
      <c r="AD17" s="212"/>
    </row>
    <row r="18" spans="1:30" x14ac:dyDescent="0.3">
      <c r="A18">
        <v>389789</v>
      </c>
      <c r="B18" s="8" t="s">
        <v>186</v>
      </c>
      <c r="C18" s="213">
        <v>44219</v>
      </c>
      <c r="D18" s="212">
        <v>0.52083333333333337</v>
      </c>
      <c r="E18" s="8" t="s">
        <v>5</v>
      </c>
      <c r="F18" s="199" t="s">
        <v>191</v>
      </c>
      <c r="G18" s="200"/>
      <c r="H18" s="147" t="s">
        <v>48</v>
      </c>
      <c r="I18" s="147" t="s">
        <v>46</v>
      </c>
      <c r="J18" s="230" t="s">
        <v>65</v>
      </c>
      <c r="K18" s="147" t="s">
        <v>56</v>
      </c>
      <c r="L18" s="147" t="s">
        <v>196</v>
      </c>
      <c r="M18" s="147"/>
      <c r="N18" s="147"/>
      <c r="O18" s="8">
        <v>640</v>
      </c>
      <c r="P18" s="7">
        <v>96</v>
      </c>
      <c r="Q18" s="8">
        <v>4</v>
      </c>
      <c r="R18" s="8">
        <v>4</v>
      </c>
      <c r="S18" s="7" t="s">
        <v>246</v>
      </c>
      <c r="T18" t="s">
        <v>195</v>
      </c>
      <c r="U18" t="s">
        <v>84</v>
      </c>
      <c r="X18"/>
      <c r="Y18" s="8"/>
      <c r="Z18"/>
      <c r="AA18"/>
      <c r="AB18"/>
      <c r="AC18" s="213"/>
      <c r="AD18" s="212"/>
    </row>
    <row r="19" spans="1:30" x14ac:dyDescent="0.3">
      <c r="A19">
        <v>389791</v>
      </c>
      <c r="B19" s="8" t="s">
        <v>186</v>
      </c>
      <c r="C19" s="213">
        <v>44226</v>
      </c>
      <c r="D19" s="212">
        <v>0.5625</v>
      </c>
      <c r="E19" s="8" t="s">
        <v>1</v>
      </c>
      <c r="F19" s="199" t="s">
        <v>192</v>
      </c>
      <c r="G19" s="200"/>
      <c r="H19" s="147" t="s">
        <v>196</v>
      </c>
      <c r="I19" s="147" t="s">
        <v>46</v>
      </c>
      <c r="J19" s="230" t="s">
        <v>56</v>
      </c>
      <c r="K19" s="147" t="s">
        <v>48</v>
      </c>
      <c r="L19" s="147" t="s">
        <v>65</v>
      </c>
      <c r="M19" s="147"/>
      <c r="N19" s="147"/>
      <c r="O19" s="8">
        <v>580</v>
      </c>
      <c r="P19" s="7">
        <v>96</v>
      </c>
      <c r="Q19" s="8">
        <v>4</v>
      </c>
      <c r="R19" s="8">
        <v>4</v>
      </c>
      <c r="S19" s="7" t="s">
        <v>246</v>
      </c>
      <c r="T19" t="s">
        <v>185</v>
      </c>
      <c r="U19" t="s">
        <v>84</v>
      </c>
      <c r="X19"/>
      <c r="Y19" s="8"/>
      <c r="Z19"/>
      <c r="AA19"/>
      <c r="AB19"/>
      <c r="AC19" s="213"/>
      <c r="AD19" s="212"/>
    </row>
    <row r="20" spans="1:30" x14ac:dyDescent="0.3">
      <c r="A20">
        <v>389794</v>
      </c>
      <c r="B20" s="8" t="s">
        <v>186</v>
      </c>
      <c r="C20" s="213">
        <v>44233</v>
      </c>
      <c r="D20" s="212">
        <v>0.39583333333333331</v>
      </c>
      <c r="E20" s="8" t="s">
        <v>175</v>
      </c>
      <c r="F20" s="199" t="s">
        <v>193</v>
      </c>
      <c r="G20" s="200"/>
      <c r="H20" s="147" t="s">
        <v>56</v>
      </c>
      <c r="I20" s="147" t="s">
        <v>46</v>
      </c>
      <c r="J20" s="230" t="s">
        <v>196</v>
      </c>
      <c r="K20" s="147" t="s">
        <v>48</v>
      </c>
      <c r="L20" s="147" t="s">
        <v>56</v>
      </c>
      <c r="M20" s="147"/>
      <c r="N20" s="147"/>
      <c r="O20" s="8">
        <v>620</v>
      </c>
      <c r="P20" s="7">
        <v>96</v>
      </c>
      <c r="Q20" s="8">
        <v>4</v>
      </c>
      <c r="R20" s="8">
        <v>4</v>
      </c>
      <c r="S20" s="7" t="s">
        <v>246</v>
      </c>
      <c r="T20" t="s">
        <v>179</v>
      </c>
      <c r="U20" t="s">
        <v>84</v>
      </c>
      <c r="X20"/>
      <c r="Y20" s="8"/>
      <c r="Z20"/>
      <c r="AA20"/>
      <c r="AB20"/>
      <c r="AC20" s="213"/>
      <c r="AD20" s="212"/>
    </row>
    <row r="21" spans="1:30" x14ac:dyDescent="0.3">
      <c r="A21">
        <v>389796</v>
      </c>
      <c r="B21" s="8" t="s">
        <v>186</v>
      </c>
      <c r="C21" s="213">
        <v>44254</v>
      </c>
      <c r="D21" s="212">
        <v>0.5</v>
      </c>
      <c r="E21" s="8" t="s">
        <v>5</v>
      </c>
      <c r="F21" s="199" t="s">
        <v>188</v>
      </c>
      <c r="G21" s="200" t="s">
        <v>46</v>
      </c>
      <c r="H21" s="147" t="s">
        <v>48</v>
      </c>
      <c r="I21" s="147" t="s">
        <v>46</v>
      </c>
      <c r="J21" s="230" t="s">
        <v>65</v>
      </c>
      <c r="K21" s="147" t="s">
        <v>56</v>
      </c>
      <c r="L21" s="147" t="s">
        <v>196</v>
      </c>
      <c r="M21" s="147"/>
      <c r="N21" s="147"/>
      <c r="O21" s="8">
        <v>640</v>
      </c>
      <c r="P21" s="7">
        <v>96</v>
      </c>
      <c r="Q21" s="8">
        <v>4</v>
      </c>
      <c r="R21" s="8">
        <v>4</v>
      </c>
      <c r="S21" s="7" t="s">
        <v>246</v>
      </c>
      <c r="T21" t="s">
        <v>84</v>
      </c>
      <c r="U21" t="s">
        <v>194</v>
      </c>
      <c r="X21"/>
      <c r="Y21" s="8"/>
      <c r="Z21"/>
      <c r="AA21"/>
      <c r="AB21"/>
      <c r="AC21" s="213"/>
      <c r="AD21" s="212"/>
    </row>
    <row r="22" spans="1:30" x14ac:dyDescent="0.3">
      <c r="A22">
        <v>389801</v>
      </c>
      <c r="B22" s="8" t="s">
        <v>186</v>
      </c>
      <c r="C22" s="364">
        <v>44303</v>
      </c>
      <c r="D22" s="212">
        <v>0.54166666666666663</v>
      </c>
      <c r="E22" s="8" t="s">
        <v>1</v>
      </c>
      <c r="F22" s="199" t="s">
        <v>192</v>
      </c>
      <c r="G22" s="200"/>
      <c r="H22" s="147" t="s">
        <v>65</v>
      </c>
      <c r="I22" s="147" t="s">
        <v>46</v>
      </c>
      <c r="J22" s="230" t="s">
        <v>56</v>
      </c>
      <c r="K22" s="147" t="s">
        <v>48</v>
      </c>
      <c r="L22" s="147" t="s">
        <v>65</v>
      </c>
      <c r="M22" s="147"/>
      <c r="N22" s="147"/>
      <c r="O22" s="8">
        <v>580</v>
      </c>
      <c r="P22" s="7">
        <v>96</v>
      </c>
      <c r="Q22" s="8">
        <v>4</v>
      </c>
      <c r="R22" s="8">
        <v>4</v>
      </c>
      <c r="S22" s="7" t="s">
        <v>246</v>
      </c>
      <c r="T22" t="s">
        <v>185</v>
      </c>
      <c r="U22" t="s">
        <v>84</v>
      </c>
      <c r="X22"/>
      <c r="Y22" s="8"/>
      <c r="Z22"/>
      <c r="AA22"/>
      <c r="AB22"/>
      <c r="AC22" s="213"/>
      <c r="AD22" s="212"/>
    </row>
    <row r="23" spans="1:30" x14ac:dyDescent="0.3">
      <c r="A23">
        <v>389804</v>
      </c>
      <c r="B23" s="8" t="s">
        <v>186</v>
      </c>
      <c r="C23" s="213">
        <v>44324</v>
      </c>
      <c r="D23" s="212">
        <v>0.39583333333333331</v>
      </c>
      <c r="E23" s="8" t="s">
        <v>175</v>
      </c>
      <c r="F23" s="199" t="s">
        <v>193</v>
      </c>
      <c r="G23" s="200"/>
      <c r="H23" s="147" t="s">
        <v>196</v>
      </c>
      <c r="I23" s="147" t="s">
        <v>46</v>
      </c>
      <c r="J23" s="230" t="s">
        <v>65</v>
      </c>
      <c r="K23" s="147" t="s">
        <v>48</v>
      </c>
      <c r="L23" s="147" t="s">
        <v>56</v>
      </c>
      <c r="M23" s="147"/>
      <c r="N23" s="147"/>
      <c r="O23" s="8">
        <v>620</v>
      </c>
      <c r="P23" s="7">
        <v>96</v>
      </c>
      <c r="Q23" s="8">
        <v>4</v>
      </c>
      <c r="R23" s="8">
        <v>4</v>
      </c>
      <c r="S23" s="8" t="s">
        <v>246</v>
      </c>
      <c r="T23" t="s">
        <v>96</v>
      </c>
      <c r="U23" t="s">
        <v>84</v>
      </c>
      <c r="X23"/>
      <c r="Y23" s="8"/>
      <c r="Z23"/>
      <c r="AA23"/>
      <c r="AB23"/>
      <c r="AC23" s="213"/>
      <c r="AD23" s="212"/>
    </row>
    <row r="24" spans="1:30" x14ac:dyDescent="0.3">
      <c r="A24">
        <v>389806</v>
      </c>
      <c r="B24" s="8" t="s">
        <v>186</v>
      </c>
      <c r="C24" s="213">
        <v>44345</v>
      </c>
      <c r="D24" s="212">
        <v>0.45833333333333331</v>
      </c>
      <c r="E24" s="8" t="s">
        <v>5</v>
      </c>
      <c r="F24" s="199" t="s">
        <v>188</v>
      </c>
      <c r="G24" s="200" t="s">
        <v>46</v>
      </c>
      <c r="H24" s="147" t="s">
        <v>65</v>
      </c>
      <c r="I24" s="147" t="s">
        <v>46</v>
      </c>
      <c r="J24" s="230" t="s">
        <v>56</v>
      </c>
      <c r="K24" s="147" t="s">
        <v>48</v>
      </c>
      <c r="L24" s="147" t="s">
        <v>196</v>
      </c>
      <c r="M24" s="147"/>
      <c r="N24" s="147"/>
      <c r="O24" s="8">
        <v>640</v>
      </c>
      <c r="P24" s="7">
        <v>96</v>
      </c>
      <c r="Q24" s="8">
        <v>4</v>
      </c>
      <c r="R24" s="8">
        <v>4</v>
      </c>
      <c r="S24" s="8" t="s">
        <v>246</v>
      </c>
      <c r="T24" t="s">
        <v>84</v>
      </c>
      <c r="U24" t="s">
        <v>194</v>
      </c>
      <c r="X24"/>
      <c r="Y24" s="8"/>
      <c r="Z24"/>
      <c r="AA24"/>
      <c r="AB24"/>
      <c r="AC24" s="213"/>
      <c r="AD24" s="212"/>
    </row>
    <row r="25" spans="1:30" x14ac:dyDescent="0.3">
      <c r="A25">
        <v>390518</v>
      </c>
      <c r="B25" s="8" t="s">
        <v>186</v>
      </c>
      <c r="C25" s="213">
        <v>44325</v>
      </c>
      <c r="D25" s="212">
        <v>0.5</v>
      </c>
      <c r="E25" s="8" t="s">
        <v>5</v>
      </c>
      <c r="F25" s="199" t="s">
        <v>275</v>
      </c>
      <c r="G25" s="200"/>
      <c r="H25" s="147" t="s">
        <v>56</v>
      </c>
      <c r="I25" s="147" t="s">
        <v>46</v>
      </c>
      <c r="J25" s="230" t="s">
        <v>196</v>
      </c>
      <c r="K25" s="147" t="s">
        <v>48</v>
      </c>
      <c r="L25" s="147"/>
      <c r="M25" s="147"/>
      <c r="N25" s="147"/>
      <c r="O25" s="8">
        <v>640</v>
      </c>
      <c r="P25" s="7">
        <v>96</v>
      </c>
      <c r="Q25" s="8">
        <v>4</v>
      </c>
      <c r="R25" s="8">
        <v>4</v>
      </c>
      <c r="S25" s="8" t="s">
        <v>246</v>
      </c>
      <c r="T25" t="s">
        <v>195</v>
      </c>
      <c r="U25" t="s">
        <v>84</v>
      </c>
      <c r="X25"/>
      <c r="Y25" s="8"/>
      <c r="Z25"/>
      <c r="AA25"/>
      <c r="AB25"/>
      <c r="AC25" s="213"/>
      <c r="AD25" s="212"/>
    </row>
    <row r="26" spans="1:30" x14ac:dyDescent="0.3">
      <c r="A26">
        <v>389811</v>
      </c>
      <c r="B26" s="8" t="s">
        <v>252</v>
      </c>
      <c r="C26" s="213">
        <v>44129</v>
      </c>
      <c r="D26" s="212">
        <v>0.375</v>
      </c>
      <c r="E26" s="8" t="s">
        <v>2</v>
      </c>
      <c r="F26" s="8" t="s">
        <v>253</v>
      </c>
      <c r="H26" s="147" t="s">
        <v>272</v>
      </c>
      <c r="I26" s="147" t="s">
        <v>55</v>
      </c>
      <c r="J26" s="147" t="s">
        <v>46</v>
      </c>
      <c r="K26" s="147"/>
      <c r="L26" s="147"/>
      <c r="M26" s="147"/>
      <c r="N26" s="147"/>
      <c r="O26" s="8">
        <v>312.5</v>
      </c>
      <c r="P26" s="8">
        <v>72</v>
      </c>
      <c r="Q26" s="8">
        <v>3</v>
      </c>
      <c r="R26" s="8">
        <v>4</v>
      </c>
      <c r="S26" s="8" t="s">
        <v>251</v>
      </c>
      <c r="T26" s="7" t="s">
        <v>254</v>
      </c>
      <c r="U26" s="7" t="s">
        <v>84</v>
      </c>
      <c r="X26"/>
      <c r="Y26" s="8"/>
      <c r="Z26"/>
      <c r="AA26"/>
      <c r="AB26"/>
      <c r="AC26" s="213"/>
      <c r="AD26" s="212"/>
    </row>
    <row r="27" spans="1:30" x14ac:dyDescent="0.3">
      <c r="A27">
        <v>389814</v>
      </c>
      <c r="B27" s="8" t="s">
        <v>252</v>
      </c>
      <c r="C27" s="213">
        <v>44156</v>
      </c>
      <c r="D27" s="212">
        <v>0.52083333333333337</v>
      </c>
      <c r="E27" s="8" t="s">
        <v>5</v>
      </c>
      <c r="F27" s="8" t="s">
        <v>255</v>
      </c>
      <c r="G27" s="200" t="s">
        <v>46</v>
      </c>
      <c r="H27" s="147" t="s">
        <v>272</v>
      </c>
      <c r="I27" s="147" t="s">
        <v>55</v>
      </c>
      <c r="J27" s="147" t="s">
        <v>46</v>
      </c>
      <c r="K27" s="147"/>
      <c r="L27" s="147"/>
      <c r="M27" s="147"/>
      <c r="N27" s="147"/>
      <c r="O27" s="8">
        <v>400</v>
      </c>
      <c r="P27" s="8">
        <v>72</v>
      </c>
      <c r="Q27" s="8">
        <v>3</v>
      </c>
      <c r="R27" s="8">
        <v>4</v>
      </c>
      <c r="S27" s="8" t="s">
        <v>251</v>
      </c>
      <c r="T27" s="8" t="s">
        <v>84</v>
      </c>
      <c r="U27" s="8" t="s">
        <v>245</v>
      </c>
      <c r="X27"/>
      <c r="Y27" s="8"/>
      <c r="Z27"/>
      <c r="AA27"/>
      <c r="AB27"/>
      <c r="AC27" s="213"/>
      <c r="AD27" s="212"/>
    </row>
    <row r="28" spans="1:30" x14ac:dyDescent="0.3">
      <c r="A28">
        <v>389816</v>
      </c>
      <c r="B28" s="8" t="s">
        <v>252</v>
      </c>
      <c r="C28" s="213">
        <v>44145</v>
      </c>
      <c r="D28" s="212">
        <v>0.77083333333333337</v>
      </c>
      <c r="E28" s="8" t="s">
        <v>256</v>
      </c>
      <c r="F28" s="8" t="s">
        <v>257</v>
      </c>
      <c r="H28" s="147" t="s">
        <v>272</v>
      </c>
      <c r="I28" s="147" t="s">
        <v>55</v>
      </c>
      <c r="J28" s="147" t="s">
        <v>46</v>
      </c>
      <c r="K28" s="147"/>
      <c r="L28" s="147"/>
      <c r="M28" s="147"/>
      <c r="N28" s="147"/>
      <c r="O28" s="8">
        <v>325</v>
      </c>
      <c r="P28" s="8">
        <v>72</v>
      </c>
      <c r="Q28" s="8">
        <v>3</v>
      </c>
      <c r="R28" s="8">
        <v>4</v>
      </c>
      <c r="S28" s="8" t="s">
        <v>251</v>
      </c>
      <c r="T28" s="8" t="s">
        <v>258</v>
      </c>
      <c r="U28" s="8" t="s">
        <v>84</v>
      </c>
      <c r="X28"/>
      <c r="Y28" s="8"/>
      <c r="Z28"/>
      <c r="AA28"/>
      <c r="AB28"/>
      <c r="AC28" s="213"/>
      <c r="AD28" s="212"/>
    </row>
    <row r="29" spans="1:30" x14ac:dyDescent="0.3">
      <c r="A29">
        <v>389822</v>
      </c>
      <c r="B29" s="8" t="s">
        <v>252</v>
      </c>
      <c r="C29" s="213">
        <v>44170</v>
      </c>
      <c r="D29" s="212">
        <v>0.45833333333333331</v>
      </c>
      <c r="E29" s="8" t="s">
        <v>5</v>
      </c>
      <c r="F29" s="8" t="s">
        <v>259</v>
      </c>
      <c r="G29" s="200" t="s">
        <v>46</v>
      </c>
      <c r="H29" s="147" t="s">
        <v>48</v>
      </c>
      <c r="I29" s="147" t="s">
        <v>55</v>
      </c>
      <c r="J29" s="147" t="s">
        <v>46</v>
      </c>
      <c r="K29" s="147" t="s">
        <v>65</v>
      </c>
      <c r="L29" s="147"/>
      <c r="M29" s="147"/>
      <c r="N29" s="147"/>
      <c r="O29" s="8">
        <v>400</v>
      </c>
      <c r="P29" s="8">
        <v>72</v>
      </c>
      <c r="Q29" s="8">
        <v>3</v>
      </c>
      <c r="R29" s="8">
        <v>4</v>
      </c>
      <c r="S29" s="8" t="s">
        <v>251</v>
      </c>
      <c r="T29" s="8" t="s">
        <v>84</v>
      </c>
      <c r="U29" s="8" t="s">
        <v>184</v>
      </c>
      <c r="X29"/>
      <c r="Y29" s="8"/>
      <c r="Z29"/>
      <c r="AA29"/>
      <c r="AB29"/>
      <c r="AC29" s="213"/>
      <c r="AD29" s="212"/>
    </row>
    <row r="30" spans="1:30" x14ac:dyDescent="0.3">
      <c r="A30">
        <v>389825</v>
      </c>
      <c r="B30" s="8" t="s">
        <v>252</v>
      </c>
      <c r="C30" s="213">
        <v>44198</v>
      </c>
      <c r="D30" s="212">
        <v>0.41666666666666669</v>
      </c>
      <c r="E30" s="8" t="s">
        <v>0</v>
      </c>
      <c r="F30" s="8" t="s">
        <v>260</v>
      </c>
      <c r="H30" s="147" t="s">
        <v>272</v>
      </c>
      <c r="I30" s="147" t="s">
        <v>48</v>
      </c>
      <c r="J30" s="147" t="s">
        <v>46</v>
      </c>
      <c r="K30" s="147"/>
      <c r="L30" s="147"/>
      <c r="M30" s="147"/>
      <c r="N30" s="147"/>
      <c r="O30" s="8">
        <v>325</v>
      </c>
      <c r="P30" s="8">
        <v>72</v>
      </c>
      <c r="Q30" s="8">
        <v>3</v>
      </c>
      <c r="R30" s="8">
        <v>4</v>
      </c>
      <c r="S30" s="8" t="s">
        <v>251</v>
      </c>
      <c r="T30" s="8" t="s">
        <v>103</v>
      </c>
      <c r="U30" s="8" t="s">
        <v>84</v>
      </c>
      <c r="X30"/>
      <c r="Y30" s="8"/>
      <c r="Z30"/>
      <c r="AA30"/>
      <c r="AB30"/>
      <c r="AC30" s="213"/>
      <c r="AD30" s="212"/>
    </row>
    <row r="31" spans="1:30" x14ac:dyDescent="0.3">
      <c r="A31">
        <v>389832</v>
      </c>
      <c r="B31" s="8" t="s">
        <v>252</v>
      </c>
      <c r="C31" s="213">
        <v>44220</v>
      </c>
      <c r="D31" s="212">
        <v>0.375</v>
      </c>
      <c r="E31" s="8" t="s">
        <v>6</v>
      </c>
      <c r="F31" s="8" t="s">
        <v>206</v>
      </c>
      <c r="H31" s="147" t="s">
        <v>272</v>
      </c>
      <c r="I31" s="147" t="s">
        <v>55</v>
      </c>
      <c r="J31" s="147" t="s">
        <v>46</v>
      </c>
      <c r="K31" s="147"/>
      <c r="L31" s="147"/>
      <c r="M31" s="147"/>
      <c r="N31" s="147"/>
      <c r="O31" s="8">
        <v>420</v>
      </c>
      <c r="P31" s="8">
        <v>72</v>
      </c>
      <c r="Q31" s="8">
        <v>3</v>
      </c>
      <c r="R31" s="8">
        <v>4</v>
      </c>
      <c r="S31" s="8" t="s">
        <v>251</v>
      </c>
      <c r="T31" s="8" t="s">
        <v>93</v>
      </c>
      <c r="U31" s="8" t="s">
        <v>84</v>
      </c>
      <c r="X31"/>
      <c r="Y31" s="8"/>
      <c r="Z31"/>
      <c r="AA31"/>
      <c r="AB31"/>
      <c r="AC31" s="213"/>
      <c r="AD31" s="212"/>
    </row>
    <row r="32" spans="1:30" x14ac:dyDescent="0.3">
      <c r="A32">
        <v>389834</v>
      </c>
      <c r="B32" s="8" t="s">
        <v>252</v>
      </c>
      <c r="C32" s="213">
        <v>44227</v>
      </c>
      <c r="D32" s="212">
        <v>0.45833333333333331</v>
      </c>
      <c r="E32" s="8" t="s">
        <v>5</v>
      </c>
      <c r="F32" s="8" t="s">
        <v>261</v>
      </c>
      <c r="G32" s="200" t="s">
        <v>46</v>
      </c>
      <c r="H32" s="147" t="s">
        <v>272</v>
      </c>
      <c r="I32" s="147" t="s">
        <v>55</v>
      </c>
      <c r="J32" s="147" t="s">
        <v>46</v>
      </c>
      <c r="K32" s="147"/>
      <c r="L32" s="147"/>
      <c r="M32" s="147"/>
      <c r="N32" s="147"/>
      <c r="O32" s="8">
        <v>400</v>
      </c>
      <c r="P32" s="8">
        <v>72</v>
      </c>
      <c r="Q32" s="8">
        <v>3</v>
      </c>
      <c r="R32" s="8">
        <v>4</v>
      </c>
      <c r="S32" s="8" t="s">
        <v>251</v>
      </c>
      <c r="T32" s="8" t="s">
        <v>84</v>
      </c>
      <c r="U32" s="8" t="s">
        <v>86</v>
      </c>
      <c r="X32"/>
      <c r="Y32" s="8"/>
      <c r="Z32"/>
      <c r="AA32"/>
      <c r="AB32"/>
      <c r="AC32" s="213"/>
      <c r="AD32" s="212"/>
    </row>
    <row r="33" spans="1:30" x14ac:dyDescent="0.3">
      <c r="A33">
        <v>389839</v>
      </c>
      <c r="B33" s="8" t="s">
        <v>252</v>
      </c>
      <c r="C33" s="213">
        <v>44234</v>
      </c>
      <c r="D33" s="212">
        <v>0.52083333333333337</v>
      </c>
      <c r="E33" s="8" t="s">
        <v>5</v>
      </c>
      <c r="F33" s="8" t="s">
        <v>262</v>
      </c>
      <c r="G33" s="200" t="s">
        <v>46</v>
      </c>
      <c r="H33" s="147" t="s">
        <v>48</v>
      </c>
      <c r="I33" s="147" t="s">
        <v>55</v>
      </c>
      <c r="J33" s="147" t="s">
        <v>46</v>
      </c>
      <c r="K33" s="147"/>
      <c r="L33" s="147"/>
      <c r="M33" s="147"/>
      <c r="N33" s="147"/>
      <c r="O33" s="8">
        <v>400</v>
      </c>
      <c r="P33" s="8">
        <v>72</v>
      </c>
      <c r="Q33" s="8">
        <v>3</v>
      </c>
      <c r="R33" s="8">
        <v>4</v>
      </c>
      <c r="S33" s="8" t="s">
        <v>251</v>
      </c>
      <c r="T33" s="8" t="s">
        <v>84</v>
      </c>
      <c r="U33" s="8" t="s">
        <v>254</v>
      </c>
      <c r="X33"/>
      <c r="Y33" s="8"/>
      <c r="Z33"/>
      <c r="AA33"/>
      <c r="AB33"/>
      <c r="AC33" s="213"/>
      <c r="AD33" s="212"/>
    </row>
    <row r="34" spans="1:30" x14ac:dyDescent="0.3">
      <c r="A34">
        <v>389842</v>
      </c>
      <c r="B34" s="8" t="s">
        <v>252</v>
      </c>
      <c r="C34" s="213">
        <v>44254</v>
      </c>
      <c r="D34" s="212">
        <v>0.375</v>
      </c>
      <c r="E34" s="8" t="s">
        <v>5</v>
      </c>
      <c r="F34" s="8" t="s">
        <v>263</v>
      </c>
      <c r="G34" s="200" t="s">
        <v>46</v>
      </c>
      <c r="H34" s="147" t="s">
        <v>272</v>
      </c>
      <c r="I34" s="147" t="s">
        <v>55</v>
      </c>
      <c r="J34" s="147" t="s">
        <v>46</v>
      </c>
      <c r="K34" s="147"/>
      <c r="L34" s="147"/>
      <c r="M34" s="147"/>
      <c r="N34" s="147"/>
      <c r="O34" s="8">
        <v>400</v>
      </c>
      <c r="P34" s="8">
        <v>72</v>
      </c>
      <c r="Q34" s="8">
        <v>3</v>
      </c>
      <c r="R34" s="8">
        <v>4</v>
      </c>
      <c r="S34" s="8" t="s">
        <v>251</v>
      </c>
      <c r="T34" s="8" t="s">
        <v>84</v>
      </c>
      <c r="U34" s="8" t="s">
        <v>258</v>
      </c>
      <c r="X34"/>
      <c r="Y34" s="8"/>
      <c r="Z34"/>
      <c r="AA34"/>
      <c r="AB34"/>
      <c r="AC34" s="213"/>
      <c r="AD34" s="212"/>
    </row>
    <row r="35" spans="1:30" x14ac:dyDescent="0.3">
      <c r="A35">
        <v>389844</v>
      </c>
      <c r="B35" s="8" t="s">
        <v>252</v>
      </c>
      <c r="C35" s="213">
        <v>44268</v>
      </c>
      <c r="D35" s="212">
        <v>0.54166666666666663</v>
      </c>
      <c r="E35" s="8" t="s">
        <v>7</v>
      </c>
      <c r="F35" s="8" t="s">
        <v>264</v>
      </c>
      <c r="H35" s="147" t="s">
        <v>272</v>
      </c>
      <c r="I35" s="147" t="s">
        <v>55</v>
      </c>
      <c r="J35" s="147" t="s">
        <v>46</v>
      </c>
      <c r="K35" s="147"/>
      <c r="L35" s="147"/>
      <c r="M35" s="147"/>
      <c r="N35" s="147"/>
      <c r="O35" s="8">
        <v>412.5</v>
      </c>
      <c r="P35" s="8">
        <v>72</v>
      </c>
      <c r="Q35" s="8">
        <v>3</v>
      </c>
      <c r="R35" s="8">
        <v>4</v>
      </c>
      <c r="S35" s="8" t="s">
        <v>251</v>
      </c>
      <c r="T35" s="8" t="s">
        <v>184</v>
      </c>
      <c r="U35" s="8" t="s">
        <v>84</v>
      </c>
      <c r="X35"/>
      <c r="Y35" s="8"/>
      <c r="Z35"/>
      <c r="AA35"/>
      <c r="AB35"/>
      <c r="AC35" s="213"/>
      <c r="AD35" s="212"/>
    </row>
    <row r="36" spans="1:30" x14ac:dyDescent="0.3">
      <c r="A36">
        <v>389849</v>
      </c>
      <c r="B36" s="8" t="s">
        <v>252</v>
      </c>
      <c r="C36" s="213">
        <v>44262</v>
      </c>
      <c r="D36" s="212">
        <v>0.375</v>
      </c>
      <c r="E36" s="8" t="s">
        <v>4</v>
      </c>
      <c r="F36" s="8" t="s">
        <v>265</v>
      </c>
      <c r="H36" s="147" t="s">
        <v>272</v>
      </c>
      <c r="I36" s="147" t="s">
        <v>55</v>
      </c>
      <c r="J36" s="147" t="s">
        <v>46</v>
      </c>
      <c r="K36" s="147"/>
      <c r="L36" s="147"/>
      <c r="M36" s="147"/>
      <c r="N36" s="147"/>
      <c r="O36" s="8">
        <v>375</v>
      </c>
      <c r="P36" s="8">
        <v>72</v>
      </c>
      <c r="Q36" s="8">
        <v>3</v>
      </c>
      <c r="R36" s="8">
        <v>4</v>
      </c>
      <c r="S36" s="8" t="s">
        <v>251</v>
      </c>
      <c r="T36" s="8" t="s">
        <v>245</v>
      </c>
      <c r="U36" s="8" t="s">
        <v>84</v>
      </c>
      <c r="X36"/>
      <c r="Y36" s="8"/>
      <c r="Z36"/>
      <c r="AA36"/>
      <c r="AB36"/>
      <c r="AC36" s="213"/>
      <c r="AD36" s="212"/>
    </row>
    <row r="37" spans="1:30" x14ac:dyDescent="0.3">
      <c r="A37">
        <v>389854</v>
      </c>
      <c r="B37" s="8" t="s">
        <v>252</v>
      </c>
      <c r="C37" s="364">
        <v>44303</v>
      </c>
      <c r="D37" s="212">
        <v>0.375</v>
      </c>
      <c r="E37" s="8" t="s">
        <v>5</v>
      </c>
      <c r="F37" s="8" t="s">
        <v>266</v>
      </c>
      <c r="G37" s="200" t="s">
        <v>46</v>
      </c>
      <c r="H37" s="147" t="s">
        <v>272</v>
      </c>
      <c r="I37" s="147" t="s">
        <v>55</v>
      </c>
      <c r="J37" s="147" t="s">
        <v>46</v>
      </c>
      <c r="K37" s="147"/>
      <c r="L37" s="147"/>
      <c r="M37" s="147"/>
      <c r="N37" s="147"/>
      <c r="O37" s="8">
        <v>400</v>
      </c>
      <c r="P37" s="8">
        <v>72</v>
      </c>
      <c r="Q37" s="8">
        <v>3</v>
      </c>
      <c r="R37" s="8">
        <v>4</v>
      </c>
      <c r="S37" s="8" t="s">
        <v>251</v>
      </c>
      <c r="T37" s="8" t="s">
        <v>84</v>
      </c>
      <c r="U37" s="8" t="s">
        <v>103</v>
      </c>
      <c r="X37"/>
      <c r="Y37" s="8"/>
      <c r="Z37"/>
      <c r="AA37"/>
      <c r="AB37"/>
      <c r="AC37" s="213"/>
      <c r="AD37" s="212"/>
    </row>
    <row r="38" spans="1:30" x14ac:dyDescent="0.3">
      <c r="A38">
        <v>389858</v>
      </c>
      <c r="B38" s="8" t="s">
        <v>252</v>
      </c>
      <c r="C38" s="213">
        <v>44324</v>
      </c>
      <c r="D38" s="212">
        <v>0.625</v>
      </c>
      <c r="E38" s="8" t="s">
        <v>5</v>
      </c>
      <c r="F38" s="8" t="s">
        <v>267</v>
      </c>
      <c r="G38" s="200" t="s">
        <v>46</v>
      </c>
      <c r="H38" s="147" t="s">
        <v>272</v>
      </c>
      <c r="I38" s="147" t="s">
        <v>55</v>
      </c>
      <c r="J38" s="147" t="s">
        <v>46</v>
      </c>
      <c r="K38" s="147"/>
      <c r="L38" s="147"/>
      <c r="M38" s="147"/>
      <c r="N38" s="147"/>
      <c r="O38" s="8">
        <v>400</v>
      </c>
      <c r="P38" s="8">
        <v>72</v>
      </c>
      <c r="Q38" s="8">
        <v>3</v>
      </c>
      <c r="R38" s="8">
        <v>4</v>
      </c>
      <c r="S38" s="8" t="s">
        <v>251</v>
      </c>
      <c r="T38" s="8" t="s">
        <v>84</v>
      </c>
      <c r="U38" s="8" t="s">
        <v>93</v>
      </c>
      <c r="X38"/>
      <c r="Y38" s="8"/>
      <c r="Z38"/>
      <c r="AA38"/>
      <c r="AB38"/>
      <c r="AC38" s="213"/>
      <c r="AD38" s="212"/>
    </row>
    <row r="39" spans="1:30" x14ac:dyDescent="0.3">
      <c r="A39">
        <v>389862</v>
      </c>
      <c r="B39" s="8" t="s">
        <v>252</v>
      </c>
      <c r="C39" s="213">
        <v>44346</v>
      </c>
      <c r="D39" s="212">
        <v>0.39583333333333331</v>
      </c>
      <c r="E39" s="8" t="s">
        <v>6</v>
      </c>
      <c r="F39" s="8" t="s">
        <v>268</v>
      </c>
      <c r="H39" s="147" t="s">
        <v>272</v>
      </c>
      <c r="I39" s="147" t="s">
        <v>55</v>
      </c>
      <c r="J39" s="147" t="s">
        <v>46</v>
      </c>
      <c r="K39" s="147"/>
      <c r="L39" s="147"/>
      <c r="M39" s="147"/>
      <c r="N39" s="147"/>
      <c r="O39" s="8">
        <v>420</v>
      </c>
      <c r="P39" s="8">
        <v>72</v>
      </c>
      <c r="Q39" s="8">
        <v>3</v>
      </c>
      <c r="R39" s="8">
        <v>4</v>
      </c>
      <c r="S39" s="8" t="s">
        <v>251</v>
      </c>
      <c r="T39" s="8" t="s">
        <v>86</v>
      </c>
      <c r="U39" s="8" t="s">
        <v>84</v>
      </c>
      <c r="X39"/>
      <c r="Y39" s="8"/>
      <c r="Z39"/>
      <c r="AA39"/>
      <c r="AB39"/>
      <c r="AC39" s="213"/>
      <c r="AD39" s="212"/>
    </row>
    <row r="40" spans="1:30" x14ac:dyDescent="0.3">
      <c r="A40">
        <v>389964</v>
      </c>
      <c r="B40" s="8" t="s">
        <v>216</v>
      </c>
      <c r="C40" s="213">
        <v>44129</v>
      </c>
      <c r="D40" s="212">
        <v>0.52083333333333337</v>
      </c>
      <c r="E40" s="8" t="s">
        <v>5</v>
      </c>
      <c r="F40" s="199" t="s">
        <v>218</v>
      </c>
      <c r="G40" s="200" t="s">
        <v>57</v>
      </c>
      <c r="H40" s="147" t="s">
        <v>58</v>
      </c>
      <c r="I40" s="147" t="s">
        <v>57</v>
      </c>
      <c r="J40" s="147" t="s">
        <v>64</v>
      </c>
      <c r="K40" s="147" t="s">
        <v>271</v>
      </c>
      <c r="L40" s="147" t="s">
        <v>62</v>
      </c>
      <c r="M40" s="147"/>
      <c r="N40" s="147"/>
      <c r="O40" s="8">
        <v>400</v>
      </c>
      <c r="P40" s="7">
        <v>72</v>
      </c>
      <c r="Q40" s="8">
        <v>3</v>
      </c>
      <c r="R40" s="8">
        <v>4</v>
      </c>
      <c r="S40" s="8" t="s">
        <v>249</v>
      </c>
      <c r="T40" t="s">
        <v>84</v>
      </c>
      <c r="U40" t="s">
        <v>228</v>
      </c>
      <c r="X40"/>
      <c r="Y40" s="8"/>
      <c r="Z40"/>
      <c r="AA40"/>
      <c r="AB40"/>
      <c r="AC40" s="213"/>
      <c r="AD40" s="212"/>
    </row>
    <row r="41" spans="1:30" x14ac:dyDescent="0.3">
      <c r="A41">
        <v>389967</v>
      </c>
      <c r="B41" s="8" t="s">
        <v>216</v>
      </c>
      <c r="C41" s="213">
        <v>44156</v>
      </c>
      <c r="D41" s="212">
        <v>0.375</v>
      </c>
      <c r="E41" s="8" t="s">
        <v>175</v>
      </c>
      <c r="F41" s="199" t="s">
        <v>217</v>
      </c>
      <c r="G41" s="200"/>
      <c r="H41" s="147" t="s">
        <v>58</v>
      </c>
      <c r="I41" s="147" t="s">
        <v>57</v>
      </c>
      <c r="J41" s="147" t="s">
        <v>64</v>
      </c>
      <c r="K41" s="147" t="s">
        <v>271</v>
      </c>
      <c r="L41" s="147" t="s">
        <v>62</v>
      </c>
      <c r="M41" s="147"/>
      <c r="N41" s="147"/>
      <c r="O41" s="8">
        <v>387.5</v>
      </c>
      <c r="P41" s="7">
        <v>72</v>
      </c>
      <c r="Q41" s="8">
        <v>3</v>
      </c>
      <c r="R41" s="8">
        <v>4</v>
      </c>
      <c r="S41" s="8" t="s">
        <v>249</v>
      </c>
      <c r="T41" t="s">
        <v>182</v>
      </c>
      <c r="U41" t="s">
        <v>84</v>
      </c>
      <c r="X41"/>
      <c r="Y41" s="8"/>
      <c r="Z41"/>
      <c r="AA41"/>
      <c r="AB41"/>
      <c r="AC41" s="213"/>
      <c r="AD41" s="212"/>
    </row>
    <row r="42" spans="1:30" x14ac:dyDescent="0.3">
      <c r="A42">
        <v>389973</v>
      </c>
      <c r="B42" s="8" t="s">
        <v>216</v>
      </c>
      <c r="C42" s="213">
        <v>44177</v>
      </c>
      <c r="D42" s="212">
        <v>0.375</v>
      </c>
      <c r="E42" s="8" t="s">
        <v>5</v>
      </c>
      <c r="F42" s="199" t="s">
        <v>219</v>
      </c>
      <c r="G42" s="200" t="s">
        <v>57</v>
      </c>
      <c r="H42" s="147" t="s">
        <v>58</v>
      </c>
      <c r="I42" s="147" t="s">
        <v>57</v>
      </c>
      <c r="J42" s="147" t="s">
        <v>64</v>
      </c>
      <c r="K42" s="147" t="s">
        <v>271</v>
      </c>
      <c r="L42" s="147" t="s">
        <v>62</v>
      </c>
      <c r="M42" s="147"/>
      <c r="N42" s="147"/>
      <c r="O42" s="7">
        <v>400</v>
      </c>
      <c r="P42" s="7">
        <v>72</v>
      </c>
      <c r="Q42" s="8">
        <v>3</v>
      </c>
      <c r="R42" s="8">
        <v>4</v>
      </c>
      <c r="S42" s="8" t="s">
        <v>249</v>
      </c>
      <c r="T42" t="s">
        <v>84</v>
      </c>
      <c r="U42" t="s">
        <v>244</v>
      </c>
      <c r="X42"/>
      <c r="Y42" s="8"/>
      <c r="Z42"/>
      <c r="AA42"/>
      <c r="AB42"/>
      <c r="AC42" s="213"/>
      <c r="AD42" s="212"/>
    </row>
    <row r="43" spans="1:30" x14ac:dyDescent="0.3">
      <c r="A43">
        <v>389974</v>
      </c>
      <c r="B43" s="8" t="s">
        <v>216</v>
      </c>
      <c r="C43" s="213">
        <v>44142</v>
      </c>
      <c r="D43" s="212">
        <v>0.58333333333333337</v>
      </c>
      <c r="E43" s="8" t="s">
        <v>59</v>
      </c>
      <c r="F43" s="199" t="s">
        <v>220</v>
      </c>
      <c r="G43" s="200"/>
      <c r="H43" s="147" t="s">
        <v>58</v>
      </c>
      <c r="I43" s="147" t="s">
        <v>57</v>
      </c>
      <c r="J43" s="147" t="s">
        <v>64</v>
      </c>
      <c r="K43" s="147" t="s">
        <v>271</v>
      </c>
      <c r="L43" s="147" t="s">
        <v>62</v>
      </c>
      <c r="M43" s="147"/>
      <c r="N43" s="147"/>
      <c r="O43" s="7">
        <v>420</v>
      </c>
      <c r="P43" s="7">
        <v>72</v>
      </c>
      <c r="Q43" s="8">
        <v>3</v>
      </c>
      <c r="R43" s="7">
        <v>4</v>
      </c>
      <c r="S43" s="8" t="s">
        <v>249</v>
      </c>
      <c r="T43" t="s">
        <v>59</v>
      </c>
      <c r="U43" t="s">
        <v>84</v>
      </c>
      <c r="X43"/>
      <c r="Y43" s="8"/>
      <c r="Z43"/>
      <c r="AA43"/>
      <c r="AB43"/>
      <c r="AC43" s="213"/>
      <c r="AD43" s="212"/>
    </row>
    <row r="44" spans="1:30" x14ac:dyDescent="0.3">
      <c r="A44">
        <v>389979</v>
      </c>
      <c r="B44" s="8" t="s">
        <v>216</v>
      </c>
      <c r="C44" s="213">
        <v>44219</v>
      </c>
      <c r="D44" s="212">
        <v>0.375</v>
      </c>
      <c r="E44" s="8" t="s">
        <v>5</v>
      </c>
      <c r="F44" s="199" t="s">
        <v>221</v>
      </c>
      <c r="G44" s="200" t="s">
        <v>57</v>
      </c>
      <c r="H44" s="147" t="s">
        <v>58</v>
      </c>
      <c r="I44" s="147" t="s">
        <v>57</v>
      </c>
      <c r="J44" s="147" t="s">
        <v>64</v>
      </c>
      <c r="K44" s="147" t="s">
        <v>271</v>
      </c>
      <c r="L44" s="147" t="s">
        <v>62</v>
      </c>
      <c r="M44" s="147"/>
      <c r="N44" s="147"/>
      <c r="O44" s="7">
        <v>400</v>
      </c>
      <c r="P44" s="7">
        <v>72</v>
      </c>
      <c r="Q44" s="8">
        <v>3</v>
      </c>
      <c r="R44" s="7">
        <v>4</v>
      </c>
      <c r="S44" s="8" t="s">
        <v>249</v>
      </c>
      <c r="T44" t="s">
        <v>84</v>
      </c>
      <c r="U44" t="s">
        <v>94</v>
      </c>
      <c r="X44"/>
      <c r="Y44" s="8"/>
      <c r="Z44"/>
      <c r="AA44"/>
      <c r="AB44"/>
      <c r="AC44" s="213"/>
      <c r="AD44" s="212"/>
    </row>
    <row r="45" spans="1:30" x14ac:dyDescent="0.3">
      <c r="A45">
        <v>389981</v>
      </c>
      <c r="B45" s="8" t="s">
        <v>216</v>
      </c>
      <c r="C45" s="213">
        <v>44226</v>
      </c>
      <c r="D45" s="212">
        <v>0.54166666666666663</v>
      </c>
      <c r="E45" s="8" t="s">
        <v>7</v>
      </c>
      <c r="F45" s="199" t="s">
        <v>222</v>
      </c>
      <c r="G45" s="200"/>
      <c r="H45" s="147" t="s">
        <v>58</v>
      </c>
      <c r="I45" s="147" t="s">
        <v>57</v>
      </c>
      <c r="J45" s="147" t="s">
        <v>64</v>
      </c>
      <c r="K45" s="147" t="s">
        <v>271</v>
      </c>
      <c r="L45" s="147" t="s">
        <v>62</v>
      </c>
      <c r="M45" s="147"/>
      <c r="N45" s="147"/>
      <c r="O45" s="7">
        <v>412.5</v>
      </c>
      <c r="P45" s="7">
        <v>72</v>
      </c>
      <c r="Q45" s="8">
        <v>3</v>
      </c>
      <c r="R45" s="7">
        <v>4</v>
      </c>
      <c r="S45" s="8" t="s">
        <v>249</v>
      </c>
      <c r="T45" t="s">
        <v>243</v>
      </c>
      <c r="U45" t="s">
        <v>84</v>
      </c>
      <c r="X45"/>
      <c r="Y45" s="8"/>
      <c r="Z45"/>
      <c r="AA45"/>
      <c r="AB45"/>
      <c r="AC45" s="213"/>
      <c r="AD45" s="212"/>
    </row>
    <row r="46" spans="1:30" x14ac:dyDescent="0.3">
      <c r="A46">
        <v>389986</v>
      </c>
      <c r="B46" s="8" t="s">
        <v>216</v>
      </c>
      <c r="C46" s="213">
        <v>44255</v>
      </c>
      <c r="D46" s="212">
        <v>0.5</v>
      </c>
      <c r="E46" s="8" t="s">
        <v>2</v>
      </c>
      <c r="F46" s="199" t="s">
        <v>223</v>
      </c>
      <c r="G46" s="200"/>
      <c r="H46" s="147" t="s">
        <v>58</v>
      </c>
      <c r="I46" s="147" t="s">
        <v>57</v>
      </c>
      <c r="J46" s="147" t="s">
        <v>64</v>
      </c>
      <c r="K46" s="147" t="s">
        <v>271</v>
      </c>
      <c r="L46" s="147" t="s">
        <v>62</v>
      </c>
      <c r="M46" s="147"/>
      <c r="N46" s="147"/>
      <c r="O46" s="8">
        <v>312.5</v>
      </c>
      <c r="P46" s="7">
        <v>72</v>
      </c>
      <c r="Q46" s="8">
        <v>3</v>
      </c>
      <c r="R46" s="7">
        <v>4</v>
      </c>
      <c r="S46" s="8" t="s">
        <v>249</v>
      </c>
      <c r="T46" t="s">
        <v>244</v>
      </c>
      <c r="U46" t="s">
        <v>84</v>
      </c>
      <c r="X46"/>
      <c r="Y46" s="8"/>
      <c r="Z46"/>
      <c r="AA46"/>
      <c r="AB46"/>
      <c r="AC46" s="213"/>
      <c r="AD46" s="212"/>
    </row>
    <row r="47" spans="1:30" x14ac:dyDescent="0.3">
      <c r="A47">
        <v>389991</v>
      </c>
      <c r="B47" s="8" t="s">
        <v>216</v>
      </c>
      <c r="C47" s="213">
        <v>44262</v>
      </c>
      <c r="D47" s="212">
        <v>0.45833333333333331</v>
      </c>
      <c r="E47" s="8" t="s">
        <v>3</v>
      </c>
      <c r="F47" s="199" t="s">
        <v>224</v>
      </c>
      <c r="G47" s="200"/>
      <c r="H47" s="147" t="s">
        <v>58</v>
      </c>
      <c r="I47" s="147" t="s">
        <v>57</v>
      </c>
      <c r="J47" s="147" t="s">
        <v>64</v>
      </c>
      <c r="K47" s="147" t="s">
        <v>271</v>
      </c>
      <c r="L47" s="147" t="s">
        <v>62</v>
      </c>
      <c r="M47" s="147"/>
      <c r="N47" s="147"/>
      <c r="O47" s="7">
        <v>462.5</v>
      </c>
      <c r="P47" s="7">
        <v>72</v>
      </c>
      <c r="Q47" s="8">
        <v>3</v>
      </c>
      <c r="R47" s="7">
        <v>4</v>
      </c>
      <c r="S47" s="8" t="s">
        <v>249</v>
      </c>
      <c r="T47" t="s">
        <v>95</v>
      </c>
      <c r="U47" t="s">
        <v>84</v>
      </c>
      <c r="X47"/>
      <c r="Y47" s="8"/>
      <c r="Z47"/>
      <c r="AA47"/>
      <c r="AB47"/>
      <c r="AC47" s="213"/>
      <c r="AD47" s="212"/>
    </row>
    <row r="48" spans="1:30" x14ac:dyDescent="0.3">
      <c r="A48">
        <v>389996</v>
      </c>
      <c r="B48" s="8" t="s">
        <v>216</v>
      </c>
      <c r="C48" s="364">
        <v>44303</v>
      </c>
      <c r="D48" s="212">
        <v>0.375</v>
      </c>
      <c r="E48" s="8" t="s">
        <v>5</v>
      </c>
      <c r="F48" s="199" t="s">
        <v>208</v>
      </c>
      <c r="G48" s="200" t="s">
        <v>57</v>
      </c>
      <c r="H48" s="147" t="s">
        <v>58</v>
      </c>
      <c r="I48" s="147" t="s">
        <v>57</v>
      </c>
      <c r="J48" s="147" t="s">
        <v>64</v>
      </c>
      <c r="K48" s="147" t="s">
        <v>271</v>
      </c>
      <c r="L48" s="147" t="s">
        <v>62</v>
      </c>
      <c r="M48" s="147"/>
      <c r="N48" s="147"/>
      <c r="O48" s="7">
        <v>400</v>
      </c>
      <c r="P48" s="7">
        <v>72</v>
      </c>
      <c r="Q48" s="8">
        <v>3</v>
      </c>
      <c r="R48" s="7">
        <v>4</v>
      </c>
      <c r="S48" s="8" t="s">
        <v>249</v>
      </c>
      <c r="T48" t="s">
        <v>84</v>
      </c>
      <c r="U48" t="s">
        <v>182</v>
      </c>
      <c r="X48"/>
      <c r="Y48" s="8"/>
      <c r="Z48"/>
      <c r="AA48"/>
      <c r="AB48"/>
      <c r="AC48" s="213"/>
      <c r="AD48" s="212"/>
    </row>
    <row r="49" spans="1:30" x14ac:dyDescent="0.3">
      <c r="A49">
        <v>389999</v>
      </c>
      <c r="B49" s="8" t="s">
        <v>216</v>
      </c>
      <c r="C49" s="213">
        <v>44324</v>
      </c>
      <c r="D49" s="212">
        <v>0.5</v>
      </c>
      <c r="E49" s="8" t="s">
        <v>5</v>
      </c>
      <c r="F49" s="199" t="s">
        <v>225</v>
      </c>
      <c r="G49" s="200" t="s">
        <v>57</v>
      </c>
      <c r="H49" s="147" t="s">
        <v>58</v>
      </c>
      <c r="I49" s="147" t="s">
        <v>57</v>
      </c>
      <c r="J49" s="147" t="s">
        <v>64</v>
      </c>
      <c r="K49" s="147" t="s">
        <v>271</v>
      </c>
      <c r="L49" s="147" t="s">
        <v>62</v>
      </c>
      <c r="M49" s="147"/>
      <c r="N49" s="147"/>
      <c r="O49" s="7">
        <v>400</v>
      </c>
      <c r="P49" s="7">
        <v>72</v>
      </c>
      <c r="Q49" s="8">
        <v>3</v>
      </c>
      <c r="R49" s="7">
        <v>4</v>
      </c>
      <c r="S49" s="8" t="s">
        <v>249</v>
      </c>
      <c r="T49" t="s">
        <v>84</v>
      </c>
      <c r="U49" t="s">
        <v>243</v>
      </c>
      <c r="X49"/>
      <c r="Y49" s="8"/>
      <c r="Z49"/>
      <c r="AA49"/>
      <c r="AB49"/>
      <c r="AC49" s="213"/>
      <c r="AD49" s="212"/>
    </row>
    <row r="50" spans="1:30" x14ac:dyDescent="0.3">
      <c r="A50">
        <v>390000</v>
      </c>
      <c r="B50" s="8" t="s">
        <v>216</v>
      </c>
      <c r="C50" s="213">
        <v>44304</v>
      </c>
      <c r="D50" s="212">
        <v>0.45833333333333331</v>
      </c>
      <c r="E50" s="8" t="s">
        <v>5</v>
      </c>
      <c r="F50" s="199" t="s">
        <v>226</v>
      </c>
      <c r="G50" s="200" t="s">
        <v>57</v>
      </c>
      <c r="H50" s="147" t="s">
        <v>58</v>
      </c>
      <c r="I50" s="147" t="s">
        <v>57</v>
      </c>
      <c r="J50" s="147" t="s">
        <v>64</v>
      </c>
      <c r="K50" s="147" t="s">
        <v>271</v>
      </c>
      <c r="L50" s="147" t="s">
        <v>62</v>
      </c>
      <c r="M50" s="147"/>
      <c r="N50" s="147"/>
      <c r="O50" s="7">
        <v>400</v>
      </c>
      <c r="P50" s="7">
        <v>72</v>
      </c>
      <c r="Q50" s="8">
        <v>3</v>
      </c>
      <c r="R50" s="7">
        <v>4</v>
      </c>
      <c r="S50" s="8" t="s">
        <v>249</v>
      </c>
      <c r="T50" t="s">
        <v>84</v>
      </c>
      <c r="U50" t="s">
        <v>59</v>
      </c>
      <c r="X50"/>
      <c r="Y50" s="8"/>
      <c r="Z50"/>
      <c r="AA50"/>
      <c r="AB50"/>
      <c r="AC50" s="213"/>
      <c r="AD50" s="212"/>
    </row>
    <row r="51" spans="1:30" x14ac:dyDescent="0.3">
      <c r="A51">
        <v>390003</v>
      </c>
      <c r="B51" s="8" t="s">
        <v>216</v>
      </c>
      <c r="C51" s="213">
        <v>44345</v>
      </c>
      <c r="D51" s="212">
        <v>0.41666666666666669</v>
      </c>
      <c r="E51" s="8" t="s">
        <v>2</v>
      </c>
      <c r="F51" s="199" t="s">
        <v>227</v>
      </c>
      <c r="G51" s="200"/>
      <c r="H51" s="147" t="s">
        <v>58</v>
      </c>
      <c r="I51" s="147" t="s">
        <v>57</v>
      </c>
      <c r="J51" s="147" t="s">
        <v>64</v>
      </c>
      <c r="K51" s="147" t="s">
        <v>271</v>
      </c>
      <c r="L51" s="147" t="s">
        <v>62</v>
      </c>
      <c r="M51" s="147"/>
      <c r="N51" s="147"/>
      <c r="O51" s="8">
        <v>312.5</v>
      </c>
      <c r="P51" s="7">
        <v>72</v>
      </c>
      <c r="Q51" s="8">
        <v>3</v>
      </c>
      <c r="R51" s="7">
        <v>4</v>
      </c>
      <c r="S51" s="8" t="s">
        <v>249</v>
      </c>
      <c r="T51" t="s">
        <v>94</v>
      </c>
      <c r="U51" t="s">
        <v>177</v>
      </c>
      <c r="X51"/>
      <c r="Y51" s="8"/>
      <c r="Z51"/>
      <c r="AA51"/>
      <c r="AB51"/>
      <c r="AC51" s="213"/>
      <c r="AD51" s="212"/>
    </row>
    <row r="52" spans="1:30" x14ac:dyDescent="0.3">
      <c r="A52">
        <v>387891</v>
      </c>
      <c r="B52" s="8" t="s">
        <v>67</v>
      </c>
      <c r="C52" s="213">
        <v>44114</v>
      </c>
      <c r="D52" s="212">
        <v>0.45833333333333331</v>
      </c>
      <c r="E52" s="8" t="s">
        <v>5</v>
      </c>
      <c r="F52" s="199" t="s">
        <v>204</v>
      </c>
      <c r="G52" s="201" t="s">
        <v>270</v>
      </c>
      <c r="H52" s="147" t="s">
        <v>51</v>
      </c>
      <c r="I52" s="147" t="s">
        <v>48</v>
      </c>
      <c r="J52" s="147" t="s">
        <v>202</v>
      </c>
      <c r="K52" s="147"/>
      <c r="L52" s="147"/>
      <c r="M52" s="147"/>
      <c r="N52" s="147"/>
      <c r="O52" s="8">
        <v>400</v>
      </c>
      <c r="P52" s="8">
        <v>72</v>
      </c>
      <c r="Q52" s="8">
        <v>3</v>
      </c>
      <c r="R52" s="8">
        <v>4</v>
      </c>
      <c r="S52" s="8" t="s">
        <v>247</v>
      </c>
      <c r="T52" s="8" t="s">
        <v>84</v>
      </c>
      <c r="U52" s="7" t="s">
        <v>99</v>
      </c>
      <c r="X52"/>
      <c r="Y52" s="8"/>
      <c r="Z52"/>
      <c r="AA52"/>
      <c r="AB52"/>
      <c r="AC52" s="213"/>
      <c r="AD52" s="212"/>
    </row>
    <row r="53" spans="1:30" x14ac:dyDescent="0.3">
      <c r="A53">
        <v>387894</v>
      </c>
      <c r="B53" s="8" t="s">
        <v>67</v>
      </c>
      <c r="C53" s="213">
        <v>44275</v>
      </c>
      <c r="D53" s="212">
        <v>0.52083333333333337</v>
      </c>
      <c r="E53" s="8" t="s">
        <v>6</v>
      </c>
      <c r="F53" s="199" t="s">
        <v>205</v>
      </c>
      <c r="G53" s="200"/>
      <c r="H53" s="147" t="s">
        <v>49</v>
      </c>
      <c r="I53" s="147" t="s">
        <v>48</v>
      </c>
      <c r="J53" s="147" t="s">
        <v>46</v>
      </c>
      <c r="K53" s="147"/>
      <c r="L53" s="147"/>
      <c r="M53" s="147"/>
      <c r="N53" s="147"/>
      <c r="O53" s="8">
        <v>420</v>
      </c>
      <c r="P53" s="7">
        <v>72</v>
      </c>
      <c r="Q53" s="8">
        <v>3</v>
      </c>
      <c r="R53" s="8">
        <v>4</v>
      </c>
      <c r="S53" s="8" t="s">
        <v>247</v>
      </c>
      <c r="T53" s="8" t="s">
        <v>84</v>
      </c>
      <c r="U53" s="8" t="s">
        <v>86</v>
      </c>
      <c r="X53"/>
      <c r="Y53" s="8"/>
      <c r="Z53"/>
      <c r="AA53"/>
      <c r="AB53"/>
      <c r="AC53" s="213"/>
      <c r="AD53" s="212"/>
    </row>
    <row r="54" spans="1:30" x14ac:dyDescent="0.3">
      <c r="A54">
        <v>387896</v>
      </c>
      <c r="B54" s="8" t="s">
        <v>67</v>
      </c>
      <c r="C54" s="213">
        <v>44178</v>
      </c>
      <c r="D54" s="212">
        <v>0.52083333333333337</v>
      </c>
      <c r="E54" s="8" t="s">
        <v>2</v>
      </c>
      <c r="F54" s="199" t="s">
        <v>206</v>
      </c>
      <c r="G54" s="200"/>
      <c r="H54" s="147" t="s">
        <v>49</v>
      </c>
      <c r="I54" s="147" t="s">
        <v>48</v>
      </c>
      <c r="J54" s="147" t="s">
        <v>46</v>
      </c>
      <c r="K54" s="147"/>
      <c r="L54" s="147"/>
      <c r="M54" s="147"/>
      <c r="N54" s="147"/>
      <c r="O54" s="8">
        <v>312.5</v>
      </c>
      <c r="P54" s="7">
        <v>72</v>
      </c>
      <c r="Q54" s="8">
        <v>3</v>
      </c>
      <c r="R54" s="8">
        <v>4</v>
      </c>
      <c r="S54" s="8" t="s">
        <v>247</v>
      </c>
      <c r="T54" s="8" t="s">
        <v>93</v>
      </c>
      <c r="U54" s="8" t="s">
        <v>84</v>
      </c>
      <c r="X54"/>
      <c r="Y54" s="8"/>
      <c r="Z54"/>
      <c r="AA54"/>
      <c r="AB54"/>
      <c r="AC54" s="213"/>
      <c r="AD54" s="212"/>
    </row>
    <row r="55" spans="1:30" x14ac:dyDescent="0.3">
      <c r="A55">
        <v>387903</v>
      </c>
      <c r="B55" s="8" t="s">
        <v>67</v>
      </c>
      <c r="C55" s="213">
        <v>44240</v>
      </c>
      <c r="D55" s="212">
        <v>0.5</v>
      </c>
      <c r="E55" s="8" t="s">
        <v>6</v>
      </c>
      <c r="F55" s="199" t="s">
        <v>207</v>
      </c>
      <c r="G55" s="200"/>
      <c r="H55" s="147" t="s">
        <v>49</v>
      </c>
      <c r="I55" s="147" t="s">
        <v>48</v>
      </c>
      <c r="J55" s="147" t="s">
        <v>46</v>
      </c>
      <c r="K55" s="147"/>
      <c r="L55" s="147"/>
      <c r="M55" s="147"/>
      <c r="N55" s="147"/>
      <c r="O55" s="8">
        <v>420</v>
      </c>
      <c r="P55" s="7">
        <v>72</v>
      </c>
      <c r="Q55" s="8">
        <v>3</v>
      </c>
      <c r="R55" s="8">
        <v>4</v>
      </c>
      <c r="S55" s="8" t="s">
        <v>247</v>
      </c>
      <c r="T55" s="8" t="s">
        <v>245</v>
      </c>
      <c r="U55" s="8" t="s">
        <v>84</v>
      </c>
      <c r="X55"/>
      <c r="Y55" s="8"/>
      <c r="Z55"/>
      <c r="AA55"/>
      <c r="AB55"/>
      <c r="AC55" s="213"/>
      <c r="AD55" s="212"/>
    </row>
    <row r="56" spans="1:30" x14ac:dyDescent="0.3">
      <c r="A56">
        <v>387905</v>
      </c>
      <c r="B56" s="8" t="s">
        <v>67</v>
      </c>
      <c r="C56" s="364">
        <v>44276</v>
      </c>
      <c r="D56" s="212">
        <v>0.375</v>
      </c>
      <c r="E56" s="8" t="s">
        <v>4</v>
      </c>
      <c r="F56" s="199" t="s">
        <v>208</v>
      </c>
      <c r="G56" s="200"/>
      <c r="H56" s="147" t="s">
        <v>49</v>
      </c>
      <c r="I56" s="147" t="s">
        <v>48</v>
      </c>
      <c r="J56" s="147" t="s">
        <v>46</v>
      </c>
      <c r="K56" s="147"/>
      <c r="L56" s="147"/>
      <c r="M56" s="147"/>
      <c r="N56" s="147"/>
      <c r="O56" s="8">
        <v>375</v>
      </c>
      <c r="P56" s="7">
        <v>72</v>
      </c>
      <c r="Q56" s="8">
        <v>3</v>
      </c>
      <c r="R56" s="8">
        <v>4</v>
      </c>
      <c r="S56" s="8" t="s">
        <v>247</v>
      </c>
      <c r="T56" s="8" t="s">
        <v>84</v>
      </c>
      <c r="U56" s="8" t="s">
        <v>245</v>
      </c>
      <c r="X56"/>
      <c r="Y56" s="8"/>
      <c r="Z56"/>
      <c r="AA56"/>
      <c r="AB56"/>
      <c r="AC56" s="213"/>
      <c r="AD56" s="212"/>
    </row>
    <row r="57" spans="1:30" x14ac:dyDescent="0.3">
      <c r="A57">
        <v>387909</v>
      </c>
      <c r="B57" s="8" t="s">
        <v>67</v>
      </c>
      <c r="C57" s="213">
        <v>44310</v>
      </c>
      <c r="D57" s="212">
        <v>0.47916666666666669</v>
      </c>
      <c r="E57" s="8" t="s">
        <v>175</v>
      </c>
      <c r="F57" s="199" t="s">
        <v>209</v>
      </c>
      <c r="G57" s="200"/>
      <c r="H57" s="147" t="s">
        <v>49</v>
      </c>
      <c r="I57" s="147" t="s">
        <v>48</v>
      </c>
      <c r="J57" s="147" t="s">
        <v>46</v>
      </c>
      <c r="K57" s="147"/>
      <c r="L57" s="147"/>
      <c r="M57" s="147"/>
      <c r="N57" s="147"/>
      <c r="O57" s="8">
        <v>387.5</v>
      </c>
      <c r="P57" s="7">
        <v>72</v>
      </c>
      <c r="Q57" s="8">
        <v>3</v>
      </c>
      <c r="R57" s="8">
        <v>4</v>
      </c>
      <c r="S57" s="8" t="s">
        <v>247</v>
      </c>
      <c r="T57" s="8" t="s">
        <v>97</v>
      </c>
      <c r="U57" s="8" t="s">
        <v>84</v>
      </c>
      <c r="X57"/>
      <c r="Y57" s="8"/>
      <c r="Z57"/>
      <c r="AA57"/>
      <c r="AB57"/>
      <c r="AC57" s="213"/>
      <c r="AD57" s="212"/>
    </row>
    <row r="58" spans="1:30" x14ac:dyDescent="0.3">
      <c r="A58">
        <v>387914</v>
      </c>
      <c r="B58" s="8" t="s">
        <v>68</v>
      </c>
      <c r="C58" s="213">
        <v>44275</v>
      </c>
      <c r="D58" s="212">
        <v>0.45833333333333331</v>
      </c>
      <c r="E58" s="8" t="s">
        <v>5</v>
      </c>
      <c r="F58" s="199" t="s">
        <v>211</v>
      </c>
      <c r="G58" s="201"/>
      <c r="H58" s="147" t="s">
        <v>65</v>
      </c>
      <c r="I58" s="147" t="s">
        <v>64</v>
      </c>
      <c r="J58" s="147" t="s">
        <v>271</v>
      </c>
      <c r="K58" s="147"/>
      <c r="L58" s="147"/>
      <c r="M58" s="147"/>
      <c r="N58" s="147"/>
      <c r="O58" s="8">
        <v>400</v>
      </c>
      <c r="P58" s="7">
        <v>72</v>
      </c>
      <c r="Q58" s="8">
        <v>3</v>
      </c>
      <c r="R58" s="8">
        <v>4</v>
      </c>
      <c r="S58" s="8" t="s">
        <v>248</v>
      </c>
      <c r="T58" t="s">
        <v>84</v>
      </c>
      <c r="U58" t="s">
        <v>98</v>
      </c>
      <c r="X58"/>
      <c r="Y58" s="8"/>
      <c r="Z58"/>
      <c r="AA58"/>
      <c r="AB58"/>
      <c r="AC58" s="213"/>
      <c r="AD58" s="212"/>
    </row>
    <row r="59" spans="1:30" x14ac:dyDescent="0.3">
      <c r="A59">
        <v>387918</v>
      </c>
      <c r="B59" s="8" t="s">
        <v>68</v>
      </c>
      <c r="C59" s="213">
        <v>44170</v>
      </c>
      <c r="D59" s="212">
        <v>0.5</v>
      </c>
      <c r="E59" s="8" t="s">
        <v>6</v>
      </c>
      <c r="F59" s="199" t="s">
        <v>212</v>
      </c>
      <c r="G59" s="200"/>
      <c r="H59" s="147" t="s">
        <v>65</v>
      </c>
      <c r="I59" s="147" t="s">
        <v>64</v>
      </c>
      <c r="J59" s="147" t="s">
        <v>271</v>
      </c>
      <c r="K59" s="147"/>
      <c r="L59" s="147"/>
      <c r="M59" s="147"/>
      <c r="N59" s="147"/>
      <c r="O59" s="8">
        <v>420</v>
      </c>
      <c r="P59" s="7">
        <v>72</v>
      </c>
      <c r="Q59" s="8">
        <v>3</v>
      </c>
      <c r="R59" s="8">
        <v>4</v>
      </c>
      <c r="S59" s="8" t="s">
        <v>248</v>
      </c>
      <c r="T59" t="s">
        <v>180</v>
      </c>
      <c r="U59" t="s">
        <v>84</v>
      </c>
      <c r="X59"/>
      <c r="Y59" s="8"/>
      <c r="Z59"/>
      <c r="AA59"/>
      <c r="AB59"/>
      <c r="AC59" s="213"/>
      <c r="AD59" s="212"/>
    </row>
    <row r="60" spans="1:30" x14ac:dyDescent="0.3">
      <c r="A60">
        <v>387921</v>
      </c>
      <c r="B60" s="8" t="s">
        <v>68</v>
      </c>
      <c r="C60" s="213">
        <v>44212</v>
      </c>
      <c r="D60" s="212">
        <v>0.5</v>
      </c>
      <c r="E60" s="8" t="s">
        <v>6</v>
      </c>
      <c r="F60" s="199" t="s">
        <v>213</v>
      </c>
      <c r="G60" s="200"/>
      <c r="H60" s="147" t="s">
        <v>65</v>
      </c>
      <c r="I60" s="147" t="s">
        <v>64</v>
      </c>
      <c r="J60" s="147" t="s">
        <v>271</v>
      </c>
      <c r="K60" s="147"/>
      <c r="L60" s="147"/>
      <c r="M60" s="147"/>
      <c r="N60" s="147"/>
      <c r="O60" s="8">
        <v>420</v>
      </c>
      <c r="P60" s="7">
        <v>72</v>
      </c>
      <c r="Q60" s="8">
        <v>3</v>
      </c>
      <c r="R60" s="7">
        <v>4</v>
      </c>
      <c r="S60" s="8" t="s">
        <v>248</v>
      </c>
      <c r="T60" t="s">
        <v>96</v>
      </c>
      <c r="U60" t="s">
        <v>84</v>
      </c>
      <c r="X60"/>
      <c r="Y60" s="8"/>
      <c r="Z60"/>
      <c r="AA60"/>
      <c r="AB60"/>
      <c r="AC60" s="213"/>
      <c r="AD60" s="212"/>
    </row>
    <row r="61" spans="1:30" x14ac:dyDescent="0.3">
      <c r="A61">
        <v>387924</v>
      </c>
      <c r="B61" s="8" t="s">
        <v>68</v>
      </c>
      <c r="C61" s="213">
        <v>44240</v>
      </c>
      <c r="D61" s="212">
        <v>0.375</v>
      </c>
      <c r="E61" s="8" t="s">
        <v>2</v>
      </c>
      <c r="F61" s="199" t="s">
        <v>214</v>
      </c>
      <c r="G61" s="200"/>
      <c r="H61" s="147" t="s">
        <v>65</v>
      </c>
      <c r="I61" s="147" t="s">
        <v>64</v>
      </c>
      <c r="J61" s="147" t="s">
        <v>271</v>
      </c>
      <c r="K61" s="147"/>
      <c r="L61" s="147"/>
      <c r="M61" s="147"/>
      <c r="N61" s="147"/>
      <c r="O61" s="8">
        <v>312.5</v>
      </c>
      <c r="P61" s="7">
        <v>72</v>
      </c>
      <c r="Q61" s="8">
        <v>3</v>
      </c>
      <c r="R61" s="7">
        <v>4</v>
      </c>
      <c r="S61" s="8" t="s">
        <v>248</v>
      </c>
      <c r="T61" t="s">
        <v>84</v>
      </c>
      <c r="U61" t="s">
        <v>103</v>
      </c>
      <c r="X61"/>
      <c r="Y61" s="8"/>
      <c r="Z61"/>
      <c r="AA61"/>
      <c r="AB61"/>
      <c r="AC61" s="213"/>
      <c r="AD61" s="212"/>
    </row>
    <row r="62" spans="1:30" x14ac:dyDescent="0.3">
      <c r="A62">
        <v>387928</v>
      </c>
      <c r="B62" s="8" t="s">
        <v>68</v>
      </c>
      <c r="C62" s="213">
        <v>44114</v>
      </c>
      <c r="D62" s="212">
        <v>0.41666666666666669</v>
      </c>
      <c r="E62" s="8" t="s">
        <v>0</v>
      </c>
      <c r="F62" s="199" t="s">
        <v>210</v>
      </c>
      <c r="G62" s="200"/>
      <c r="H62" s="147" t="s">
        <v>60</v>
      </c>
      <c r="I62" s="147" t="s">
        <v>61</v>
      </c>
      <c r="J62" s="147" t="s">
        <v>271</v>
      </c>
      <c r="K62" s="147"/>
      <c r="L62" s="147"/>
      <c r="M62" s="147"/>
      <c r="N62" s="147"/>
      <c r="O62" s="8">
        <v>325</v>
      </c>
      <c r="P62" s="7">
        <v>72</v>
      </c>
      <c r="Q62" s="8">
        <v>3</v>
      </c>
      <c r="R62" s="8">
        <v>4</v>
      </c>
      <c r="S62" s="8" t="s">
        <v>248</v>
      </c>
      <c r="T62" t="s">
        <v>84</v>
      </c>
      <c r="U62" t="s">
        <v>86</v>
      </c>
      <c r="X62"/>
      <c r="Y62" s="8"/>
      <c r="Z62"/>
      <c r="AA62"/>
      <c r="AB62"/>
      <c r="AC62" s="213"/>
      <c r="AD62" s="212"/>
    </row>
    <row r="63" spans="1:30" x14ac:dyDescent="0.3">
      <c r="A63">
        <v>387931</v>
      </c>
      <c r="B63" s="8" t="s">
        <v>68</v>
      </c>
      <c r="C63" s="213">
        <v>44310</v>
      </c>
      <c r="D63" s="212">
        <v>0.47916666666666669</v>
      </c>
      <c r="E63" s="8" t="s">
        <v>175</v>
      </c>
      <c r="F63" s="199" t="s">
        <v>215</v>
      </c>
      <c r="G63" s="200"/>
      <c r="H63" s="147" t="s">
        <v>65</v>
      </c>
      <c r="I63" s="147" t="s">
        <v>64</v>
      </c>
      <c r="J63" s="147" t="s">
        <v>271</v>
      </c>
      <c r="K63" s="147"/>
      <c r="L63" s="147"/>
      <c r="M63" s="147"/>
      <c r="N63" s="147"/>
      <c r="O63" s="8">
        <v>387.5</v>
      </c>
      <c r="P63" s="7">
        <v>72</v>
      </c>
      <c r="Q63" s="8">
        <v>3</v>
      </c>
      <c r="R63" s="7">
        <v>4</v>
      </c>
      <c r="S63" s="8" t="s">
        <v>248</v>
      </c>
      <c r="T63" t="s">
        <v>99</v>
      </c>
      <c r="U63" t="s">
        <v>84</v>
      </c>
      <c r="X63"/>
      <c r="Y63" s="8"/>
      <c r="Z63"/>
      <c r="AA63"/>
      <c r="AB63"/>
      <c r="AC63" s="213"/>
      <c r="AD63" s="212"/>
    </row>
    <row r="69" spans="8:12" x14ac:dyDescent="0.3">
      <c r="H69" s="147" t="s">
        <v>56</v>
      </c>
      <c r="I69" s="147" t="s">
        <v>46</v>
      </c>
      <c r="J69" s="147" t="s">
        <v>48</v>
      </c>
      <c r="K69" s="147" t="s">
        <v>196</v>
      </c>
      <c r="L69" s="147"/>
    </row>
    <row r="70" spans="8:12" x14ac:dyDescent="0.3">
      <c r="H70" s="147" t="s">
        <v>48</v>
      </c>
      <c r="I70" s="147" t="s">
        <v>46</v>
      </c>
      <c r="J70" s="147" t="s">
        <v>65</v>
      </c>
      <c r="K70" s="147" t="s">
        <v>56</v>
      </c>
      <c r="L70" s="147" t="s">
        <v>196</v>
      </c>
    </row>
    <row r="71" spans="8:12" x14ac:dyDescent="0.3">
      <c r="H71" s="147" t="s">
        <v>56</v>
      </c>
      <c r="I71" s="147" t="s">
        <v>46</v>
      </c>
      <c r="J71" s="147" t="s">
        <v>196</v>
      </c>
      <c r="K71" s="147" t="s">
        <v>48</v>
      </c>
      <c r="L71" s="147" t="s">
        <v>65</v>
      </c>
    </row>
    <row r="72" spans="8:12" x14ac:dyDescent="0.3">
      <c r="H72" s="147" t="s">
        <v>196</v>
      </c>
      <c r="I72" s="147" t="s">
        <v>46</v>
      </c>
      <c r="J72" s="147" t="s">
        <v>65</v>
      </c>
      <c r="K72" s="147" t="s">
        <v>48</v>
      </c>
      <c r="L72" s="147" t="s">
        <v>56</v>
      </c>
    </row>
    <row r="73" spans="8:12" x14ac:dyDescent="0.3">
      <c r="H73" s="147" t="s">
        <v>48</v>
      </c>
      <c r="I73" s="147" t="s">
        <v>46</v>
      </c>
      <c r="J73" s="147" t="s">
        <v>65</v>
      </c>
      <c r="K73" s="147" t="s">
        <v>56</v>
      </c>
      <c r="L73" s="147" t="s">
        <v>196</v>
      </c>
    </row>
    <row r="74" spans="8:12" x14ac:dyDescent="0.3">
      <c r="H74" s="147" t="s">
        <v>56</v>
      </c>
      <c r="I74" s="147" t="s">
        <v>46</v>
      </c>
      <c r="J74" s="147" t="s">
        <v>196</v>
      </c>
      <c r="K74" s="147" t="s">
        <v>48</v>
      </c>
      <c r="L74" s="147" t="s">
        <v>65</v>
      </c>
    </row>
    <row r="75" spans="8:12" x14ac:dyDescent="0.3">
      <c r="H75" s="147" t="s">
        <v>196</v>
      </c>
      <c r="I75" s="147" t="s">
        <v>56</v>
      </c>
      <c r="J75" s="147" t="s">
        <v>46</v>
      </c>
      <c r="K75" s="147" t="s">
        <v>48</v>
      </c>
      <c r="L75" s="147"/>
    </row>
    <row r="76" spans="8:12" x14ac:dyDescent="0.3">
      <c r="H76" s="147" t="s">
        <v>196</v>
      </c>
      <c r="I76" s="147" t="s">
        <v>46</v>
      </c>
      <c r="J76" s="147" t="s">
        <v>65</v>
      </c>
      <c r="K76" s="147" t="s">
        <v>48</v>
      </c>
      <c r="L76" s="147" t="s">
        <v>56</v>
      </c>
    </row>
    <row r="77" spans="8:12" x14ac:dyDescent="0.3">
      <c r="H77" s="147" t="s">
        <v>48</v>
      </c>
      <c r="I77" s="147" t="s">
        <v>46</v>
      </c>
      <c r="J77" s="147" t="s">
        <v>65</v>
      </c>
      <c r="K77" s="147" t="s">
        <v>56</v>
      </c>
      <c r="L77" s="147" t="s">
        <v>196</v>
      </c>
    </row>
  </sheetData>
  <sheetProtection sheet="1" objects="1" scenarios="1" autoFilter="0"/>
  <autoFilter ref="A1:U63">
    <sortState ref="A2:U63">
      <sortCondition ref="B1:B63"/>
    </sortState>
  </autoFilter>
  <sortState ref="A2:R49">
    <sortCondition ref="A1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Zeros="0" tabSelected="1" topLeftCell="A2" workbookViewId="0">
      <selection activeCell="A9" sqref="A9"/>
    </sheetView>
  </sheetViews>
  <sheetFormatPr defaultRowHeight="14.4" x14ac:dyDescent="0.3"/>
  <cols>
    <col min="1" max="1" width="21.88671875" style="1" customWidth="1"/>
    <col min="2" max="6" width="12.88671875" style="1" customWidth="1"/>
    <col min="7" max="8" width="10" style="1" customWidth="1"/>
    <col min="9" max="9" width="8.88671875" style="1"/>
    <col min="10" max="10" width="14.77734375" style="1" bestFit="1" customWidth="1"/>
    <col min="11" max="16384" width="8.88671875" style="1"/>
  </cols>
  <sheetData>
    <row r="1" spans="1:17" ht="18" x14ac:dyDescent="0.35">
      <c r="A1" s="247" t="s">
        <v>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7" ht="18" x14ac:dyDescent="0.35">
      <c r="A2" s="167"/>
      <c r="B2" s="167"/>
      <c r="C2" s="167"/>
      <c r="D2" s="167"/>
      <c r="E2" s="167"/>
      <c r="F2" s="167"/>
      <c r="G2" s="167"/>
      <c r="H2" s="167"/>
    </row>
    <row r="3" spans="1:17" x14ac:dyDescent="0.3">
      <c r="A3" s="6" t="s">
        <v>71</v>
      </c>
      <c r="B3" s="216">
        <v>389822</v>
      </c>
      <c r="D3" s="14" t="s">
        <v>81</v>
      </c>
      <c r="E3" s="242" t="str">
        <f>VLOOKUP($B$3,Kampe!A:R,2,FALSE)</f>
        <v>Damerække 1</v>
      </c>
      <c r="F3" s="243"/>
      <c r="H3" s="248" t="s">
        <v>274</v>
      </c>
      <c r="I3" s="248"/>
      <c r="J3" s="248"/>
    </row>
    <row r="4" spans="1:17" x14ac:dyDescent="0.3">
      <c r="A4" s="6" t="s">
        <v>132</v>
      </c>
      <c r="B4" s="215">
        <f>VLOOKUP($B$3,Kampe!$A:$V,3)</f>
        <v>44170</v>
      </c>
      <c r="C4" s="217">
        <f>VLOOKUP(B3,Kampe!$A:$N,4)</f>
        <v>0.45833333333333331</v>
      </c>
      <c r="D4" s="14" t="s">
        <v>80</v>
      </c>
      <c r="E4" s="242" t="str">
        <f>VLOOKUP($B$3,Kampe!A:R,5,FALSE)</f>
        <v>Køge</v>
      </c>
      <c r="F4" s="243"/>
      <c r="G4" s="2"/>
      <c r="H4" s="248" t="str">
        <f>VLOOKUP(B3,Kampe!A:G,7,FALSE)</f>
        <v>Lena</v>
      </c>
      <c r="I4" s="248"/>
      <c r="J4" s="248"/>
      <c r="P4" s="238">
        <f>VLOOKUP($B$3,Kampe!A:N,3)</f>
        <v>44170</v>
      </c>
      <c r="Q4" s="239"/>
    </row>
    <row r="5" spans="1:17" x14ac:dyDescent="0.3">
      <c r="A5" s="6" t="s">
        <v>11</v>
      </c>
      <c r="B5" s="240" t="str">
        <f>VLOOKUP($B$3,Kampe!A:R,6,FALSE)</f>
        <v>LBC 2012 - Slagelse BC</v>
      </c>
      <c r="C5" s="240"/>
      <c r="D5" s="241"/>
      <c r="E5" s="241"/>
      <c r="F5" s="241"/>
    </row>
    <row r="6" spans="1:17" ht="15" thickBot="1" x14ac:dyDescent="0.35">
      <c r="A6" s="1" t="s">
        <v>12</v>
      </c>
      <c r="B6" s="9">
        <f>VLOOKUP($B$3,Kampe!A:R,17,FALSE)</f>
        <v>3</v>
      </c>
      <c r="C6" s="1" t="s">
        <v>13</v>
      </c>
      <c r="D6" s="13">
        <f>VLOOKUP($B$3,Kampe!A:R,18,FALSE)</f>
        <v>4</v>
      </c>
      <c r="E6" s="13"/>
    </row>
    <row r="7" spans="1:17" ht="15" thickBot="1" x14ac:dyDescent="0.35">
      <c r="A7" s="3" t="s">
        <v>14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19</v>
      </c>
      <c r="G7" s="4" t="s">
        <v>20</v>
      </c>
      <c r="H7" s="18" t="s">
        <v>21</v>
      </c>
      <c r="I7" s="168" t="s">
        <v>22</v>
      </c>
      <c r="J7" s="171" t="s">
        <v>183</v>
      </c>
    </row>
    <row r="8" spans="1:17" ht="18" customHeight="1" x14ac:dyDescent="0.3">
      <c r="A8" s="148" t="str">
        <f>VLOOKUP($B$3,Kampe!A:R,8,FALSE)</f>
        <v>Hanne K</v>
      </c>
      <c r="B8" s="178"/>
      <c r="C8" s="179"/>
      <c r="D8" s="179"/>
      <c r="E8" s="179"/>
      <c r="F8" s="179"/>
      <c r="G8" s="179"/>
      <c r="H8" s="180"/>
      <c r="I8" s="181"/>
      <c r="J8" s="172"/>
    </row>
    <row r="9" spans="1:17" ht="18" customHeight="1" x14ac:dyDescent="0.3">
      <c r="A9" s="149" t="str">
        <f>VLOOKUP($B$3,Kampe!A:R,9,FALSE)</f>
        <v>Margit</v>
      </c>
      <c r="B9" s="182"/>
      <c r="C9" s="5"/>
      <c r="D9" s="5"/>
      <c r="E9" s="5"/>
      <c r="F9" s="5"/>
      <c r="G9" s="5"/>
      <c r="H9" s="183"/>
      <c r="I9" s="184"/>
      <c r="J9" s="169"/>
    </row>
    <row r="10" spans="1:17" ht="18" customHeight="1" x14ac:dyDescent="0.3">
      <c r="A10" s="149" t="str">
        <f>VLOOKUP($B$3,Kampe!A:R,10,FALSE)</f>
        <v>Lena</v>
      </c>
      <c r="B10" s="182"/>
      <c r="C10" s="5"/>
      <c r="D10" s="5"/>
      <c r="E10" s="5"/>
      <c r="F10" s="5"/>
      <c r="G10" s="5"/>
      <c r="H10" s="183"/>
      <c r="I10" s="184"/>
      <c r="J10" s="169"/>
    </row>
    <row r="11" spans="1:17" ht="18" customHeight="1" x14ac:dyDescent="0.3">
      <c r="A11" s="149" t="str">
        <f>VLOOKUP($B$3,Kampe!A:R,11,FALSE)</f>
        <v>Gitte</v>
      </c>
      <c r="B11" s="182"/>
      <c r="C11" s="5"/>
      <c r="D11" s="5"/>
      <c r="E11" s="5"/>
      <c r="F11" s="5"/>
      <c r="G11" s="5"/>
      <c r="H11" s="183"/>
      <c r="I11" s="184"/>
      <c r="J11" s="169"/>
    </row>
    <row r="12" spans="1:17" ht="18" customHeight="1" x14ac:dyDescent="0.3">
      <c r="A12" s="149">
        <f>VLOOKUP($B$3,Kampe!A:R,12,FALSE)</f>
        <v>0</v>
      </c>
      <c r="B12" s="182"/>
      <c r="C12" s="5"/>
      <c r="D12" s="5"/>
      <c r="E12" s="5"/>
      <c r="F12" s="5"/>
      <c r="G12" s="5"/>
      <c r="H12" s="183"/>
      <c r="I12" s="184"/>
      <c r="J12" s="169"/>
    </row>
    <row r="13" spans="1:17" ht="18" customHeight="1" x14ac:dyDescent="0.3">
      <c r="A13" s="149">
        <f>VLOOKUP($B$3,Kampe!A:R,13,FALSE)</f>
        <v>0</v>
      </c>
      <c r="B13" s="182"/>
      <c r="C13" s="5"/>
      <c r="D13" s="5"/>
      <c r="E13" s="5"/>
      <c r="F13" s="5"/>
      <c r="G13" s="5"/>
      <c r="H13" s="183"/>
      <c r="I13" s="184"/>
      <c r="J13" s="169"/>
    </row>
    <row r="14" spans="1:17" ht="15" thickBot="1" x14ac:dyDescent="0.35">
      <c r="A14" s="149">
        <f>VLOOKUP($B$3,Kampe!A:R,14,FALSE)</f>
        <v>0</v>
      </c>
      <c r="B14" s="185"/>
      <c r="C14" s="186"/>
      <c r="D14" s="186"/>
      <c r="E14" s="186"/>
      <c r="F14" s="186"/>
      <c r="G14" s="186"/>
      <c r="H14" s="187"/>
      <c r="I14" s="188"/>
      <c r="J14" s="169"/>
    </row>
    <row r="15" spans="1:17" ht="15" thickBot="1" x14ac:dyDescent="0.35">
      <c r="A15" s="189" t="s">
        <v>23</v>
      </c>
      <c r="B15" s="190"/>
      <c r="C15" s="191"/>
      <c r="D15" s="191"/>
      <c r="E15" s="191"/>
      <c r="F15" s="191"/>
      <c r="G15" s="191"/>
      <c r="H15" s="192"/>
      <c r="I15" s="193"/>
      <c r="J15" s="170"/>
    </row>
    <row r="16" spans="1:17" ht="18" customHeight="1" x14ac:dyDescent="0.3">
      <c r="A16" s="6" t="s">
        <v>26</v>
      </c>
      <c r="H16" s="7"/>
    </row>
    <row r="17" spans="1:9" x14ac:dyDescent="0.3">
      <c r="A17" s="10" t="s">
        <v>74</v>
      </c>
      <c r="B17" s="10">
        <f>ROUNDUP(H20/B6,0)</f>
        <v>158</v>
      </c>
      <c r="D17" s="234" t="s">
        <v>75</v>
      </c>
      <c r="E17" s="234"/>
      <c r="F17" s="10">
        <f>ROUNDUP(B17/D6,0)</f>
        <v>40</v>
      </c>
      <c r="I17" s="5" t="s">
        <v>24</v>
      </c>
    </row>
    <row r="18" spans="1:9" x14ac:dyDescent="0.3">
      <c r="A18" s="244" t="s">
        <v>27</v>
      </c>
      <c r="B18" s="245"/>
      <c r="C18" s="245"/>
      <c r="D18" s="245"/>
      <c r="E18" s="245"/>
      <c r="F18" s="245"/>
      <c r="G18" s="246"/>
      <c r="H18" s="12">
        <f>VLOOKUP($B$3,Kampe!$A$2:$R$49,15,FALSE)</f>
        <v>400</v>
      </c>
      <c r="I18" s="11" t="s">
        <v>28</v>
      </c>
    </row>
    <row r="19" spans="1:9" x14ac:dyDescent="0.3">
      <c r="A19" s="231" t="s">
        <v>29</v>
      </c>
      <c r="B19" s="232"/>
      <c r="C19" s="232"/>
      <c r="D19" s="232"/>
      <c r="E19" s="232"/>
      <c r="F19" s="232"/>
      <c r="G19" s="233"/>
      <c r="H19" s="12">
        <f>VLOOKUP($B$3,Kampe!$A$2:$R$49,16,FALSE)</f>
        <v>72</v>
      </c>
      <c r="I19" s="11" t="s">
        <v>28</v>
      </c>
    </row>
    <row r="20" spans="1:9" x14ac:dyDescent="0.3">
      <c r="A20" s="244" t="s">
        <v>30</v>
      </c>
      <c r="B20" s="245"/>
      <c r="C20" s="245"/>
      <c r="D20" s="245"/>
      <c r="E20" s="245"/>
      <c r="F20" s="245"/>
      <c r="G20" s="246"/>
      <c r="H20" s="12">
        <f>H18+H19</f>
        <v>472</v>
      </c>
      <c r="I20" s="11"/>
    </row>
    <row r="21" spans="1:9" x14ac:dyDescent="0.3">
      <c r="A21" s="231" t="s">
        <v>31</v>
      </c>
      <c r="B21" s="232"/>
      <c r="C21" s="232"/>
      <c r="D21" s="232"/>
      <c r="E21" s="232"/>
      <c r="F21" s="232"/>
      <c r="G21" s="233"/>
      <c r="H21" s="12">
        <f>B17*B6</f>
        <v>474</v>
      </c>
      <c r="I21" s="11"/>
    </row>
    <row r="22" spans="1:9" x14ac:dyDescent="0.3">
      <c r="A22" s="244" t="s">
        <v>33</v>
      </c>
      <c r="B22" s="245"/>
      <c r="C22" s="245"/>
      <c r="D22" s="245"/>
      <c r="E22" s="245"/>
      <c r="F22" s="245"/>
      <c r="G22" s="246"/>
      <c r="H22" s="12">
        <f>H21-H20</f>
        <v>2</v>
      </c>
      <c r="I22" s="11" t="s">
        <v>25</v>
      </c>
    </row>
    <row r="23" spans="1:9" x14ac:dyDescent="0.3">
      <c r="A23" s="231" t="s">
        <v>32</v>
      </c>
      <c r="B23" s="232"/>
      <c r="C23" s="232"/>
      <c r="D23" s="232"/>
      <c r="E23" s="232"/>
      <c r="F23" s="232"/>
      <c r="G23" s="233"/>
      <c r="H23" s="16">
        <f>H21-H20+H19</f>
        <v>74</v>
      </c>
      <c r="I23" s="11"/>
    </row>
    <row r="24" spans="1:9" x14ac:dyDescent="0.3">
      <c r="A24" s="244" t="s">
        <v>76</v>
      </c>
      <c r="B24" s="245"/>
      <c r="C24" s="245"/>
      <c r="D24" s="245"/>
      <c r="E24" s="245"/>
      <c r="F24" s="245"/>
      <c r="G24" s="246"/>
      <c r="H24" s="16">
        <f>IF(I15=0,0,I15)</f>
        <v>0</v>
      </c>
      <c r="I24" s="11" t="s">
        <v>25</v>
      </c>
    </row>
    <row r="25" spans="1:9" ht="24.6" customHeight="1" x14ac:dyDescent="0.3">
      <c r="A25" s="5" t="s">
        <v>34</v>
      </c>
      <c r="B25" s="235" t="s">
        <v>77</v>
      </c>
      <c r="C25" s="236"/>
      <c r="D25" s="236"/>
      <c r="E25" s="236"/>
      <c r="F25" s="236"/>
      <c r="G25" s="237"/>
      <c r="H25" s="17">
        <f>IF(I15=0,0,SUM(H23+H24))</f>
        <v>0</v>
      </c>
      <c r="I25" s="5"/>
    </row>
    <row r="27" spans="1:9" x14ac:dyDescent="0.3">
      <c r="A27" s="1" t="s">
        <v>35</v>
      </c>
    </row>
    <row r="28" spans="1:9" x14ac:dyDescent="0.3">
      <c r="A28" s="8" t="s">
        <v>78</v>
      </c>
      <c r="C28" s="1">
        <v>2510</v>
      </c>
      <c r="D28" s="1">
        <v>6895848318</v>
      </c>
      <c r="E28" s="1" t="s">
        <v>79</v>
      </c>
    </row>
  </sheetData>
  <sheetProtection sheet="1" objects="1" scenarios="1" selectLockedCells="1"/>
  <mergeCells count="16">
    <mergeCell ref="A1:K1"/>
    <mergeCell ref="E3:F3"/>
    <mergeCell ref="A18:G18"/>
    <mergeCell ref="A19:G19"/>
    <mergeCell ref="A20:G20"/>
    <mergeCell ref="H3:J3"/>
    <mergeCell ref="H4:J4"/>
    <mergeCell ref="A21:G21"/>
    <mergeCell ref="D17:E17"/>
    <mergeCell ref="B25:G25"/>
    <mergeCell ref="P4:Q4"/>
    <mergeCell ref="B5:F5"/>
    <mergeCell ref="E4:F4"/>
    <mergeCell ref="A22:G22"/>
    <mergeCell ref="A23:G23"/>
    <mergeCell ref="A24:G24"/>
  </mergeCells>
  <pageMargins left="0" right="0" top="0.74803149606299213" bottom="0.74803149606299213" header="0.31496062992125984" footer="0.31496062992125984"/>
  <pageSetup paperSize="9" orientation="landscape" r:id="rId1"/>
  <ignoredErrors>
    <ignoredError sqref="A9:A12 A13:A1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ejl" error="Indtast korrekt kampnummer, eller hent den i listen">
          <x14:formula1>
            <xm:f>Kampe!$A$2:$A$499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Zeros="0" zoomScaleNormal="100" workbookViewId="0">
      <selection activeCell="A8" sqref="A8"/>
    </sheetView>
  </sheetViews>
  <sheetFormatPr defaultRowHeight="21" x14ac:dyDescent="0.4"/>
  <cols>
    <col min="1" max="1" width="20.21875" style="20" customWidth="1"/>
    <col min="2" max="4" width="8.88671875" style="20"/>
    <col min="5" max="5" width="7.5546875" style="20" customWidth="1"/>
    <col min="6" max="9" width="7.88671875" style="20" customWidth="1"/>
    <col min="10" max="10" width="12" style="20" bestFit="1" customWidth="1"/>
    <col min="11" max="16384" width="8.88671875" style="20"/>
  </cols>
  <sheetData>
    <row r="1" spans="1:10" x14ac:dyDescent="0.4">
      <c r="A1" s="249" t="s">
        <v>71</v>
      </c>
      <c r="B1" s="250"/>
      <c r="C1" s="249" t="s">
        <v>82</v>
      </c>
      <c r="D1" s="257"/>
      <c r="E1" s="257"/>
      <c r="F1" s="257"/>
      <c r="G1" s="257"/>
      <c r="H1" s="257"/>
      <c r="I1" s="257"/>
      <c r="J1" s="250"/>
    </row>
    <row r="2" spans="1:10" ht="21.6" thickBot="1" x14ac:dyDescent="0.45">
      <c r="A2" s="251">
        <f>Misafregning!B3</f>
        <v>389822</v>
      </c>
      <c r="B2" s="252"/>
      <c r="C2" s="251" t="str">
        <f>VLOOKUP($A$2,Kampe!$A$1:$U$49,19,FALSE)</f>
        <v>Øst række Damer Række 1</v>
      </c>
      <c r="D2" s="256"/>
      <c r="E2" s="256"/>
      <c r="F2" s="256"/>
      <c r="G2" s="256"/>
      <c r="H2" s="256"/>
      <c r="I2" s="256"/>
      <c r="J2" s="252"/>
    </row>
    <row r="3" spans="1:10" x14ac:dyDescent="0.4">
      <c r="A3" s="249" t="s">
        <v>133</v>
      </c>
      <c r="B3" s="250"/>
      <c r="C3" s="249" t="s">
        <v>83</v>
      </c>
      <c r="D3" s="257"/>
      <c r="E3" s="257"/>
      <c r="F3" s="257"/>
      <c r="G3" s="257"/>
      <c r="H3" s="257"/>
      <c r="I3" s="257"/>
      <c r="J3" s="250"/>
    </row>
    <row r="4" spans="1:10" ht="21.6" thickBot="1" x14ac:dyDescent="0.45">
      <c r="A4" s="228">
        <f>VLOOKUP($A$2,Kampe!$A:$V,3)</f>
        <v>44170</v>
      </c>
      <c r="B4" s="229">
        <f>VLOOKUP(A2,Kampe!$A:$N,4)</f>
        <v>0.45833333333333331</v>
      </c>
      <c r="C4" s="251" t="str">
        <f>VLOOKUP($A$2,Kampe!$A$1:$U$49,5,FALSE)</f>
        <v>Køge</v>
      </c>
      <c r="D4" s="256"/>
      <c r="E4" s="256"/>
      <c r="F4" s="256"/>
      <c r="G4" s="256"/>
      <c r="H4" s="256"/>
      <c r="I4" s="256"/>
      <c r="J4" s="252"/>
    </row>
    <row r="5" spans="1:10" ht="21.6" thickBot="1" x14ac:dyDescent="0.45"/>
    <row r="6" spans="1:10" ht="21.6" thickBot="1" x14ac:dyDescent="0.45">
      <c r="A6" s="20" t="str">
        <f>VLOOKUP(A2,Kampe!A1:U49,20,FALSE)</f>
        <v>LBC 2012</v>
      </c>
      <c r="B6" s="19"/>
      <c r="C6" s="28" t="s">
        <v>85</v>
      </c>
      <c r="D6" s="19"/>
      <c r="E6" s="20" t="str">
        <f>VLOOKUP(A2,Kampe!A1:U49,21,FALSE)</f>
        <v>Slagelse BC</v>
      </c>
    </row>
    <row r="7" spans="1:10" ht="21.6" thickBot="1" x14ac:dyDescent="0.45"/>
    <row r="8" spans="1:10" ht="21.6" thickBot="1" x14ac:dyDescent="0.45">
      <c r="A8" s="21"/>
      <c r="B8" s="258" t="str">
        <f>A6</f>
        <v>LBC 2012</v>
      </c>
      <c r="C8" s="259"/>
      <c r="D8" s="259"/>
      <c r="E8" s="260"/>
      <c r="F8" s="32">
        <v>1</v>
      </c>
      <c r="G8" s="32">
        <v>2</v>
      </c>
      <c r="H8" s="32">
        <v>3</v>
      </c>
      <c r="I8" s="32">
        <v>4</v>
      </c>
      <c r="J8" s="32" t="s">
        <v>26</v>
      </c>
    </row>
    <row r="9" spans="1:10" x14ac:dyDescent="0.4">
      <c r="A9" s="173" t="str">
        <f>IF($A$6="LBC 2012",VLOOKUP(Misafregning!$A$8,Licensnumre!$C:$G,3),0)</f>
        <v>161248-HAKR</v>
      </c>
      <c r="B9" s="261" t="str">
        <f>IF($A$6="LBC 2012",VLOOKUP(Misafregning!$A$8,Licensnumre!$C:$G,2),0)</f>
        <v>Hanne Krøger</v>
      </c>
      <c r="C9" s="262">
        <f>IF($E$6 = "LBC 2012",VLOOKUP(Misafregning!#REF!,Licensnumre!$C:$J,3,FALSE),0)</f>
        <v>0</v>
      </c>
      <c r="D9" s="262">
        <f>IF($E$6 = "LBC 2012",VLOOKUP(Misafregning!#REF!,Licensnumre!$C:$J,3,FALSE),0)</f>
        <v>0</v>
      </c>
      <c r="E9" s="263">
        <f>IF($E$6 = "LBC 2012",VLOOKUP(Misafregning!#REF!,Licensnumre!$C:$J,3,FALSE),0)</f>
        <v>0</v>
      </c>
      <c r="F9" s="150"/>
      <c r="G9" s="151"/>
      <c r="H9" s="151"/>
      <c r="I9" s="152"/>
      <c r="J9" s="29">
        <f t="shared" ref="J9:J14" si="0">SUM(F9:I9)</f>
        <v>0</v>
      </c>
    </row>
    <row r="10" spans="1:10" x14ac:dyDescent="0.4">
      <c r="A10" s="174" t="str">
        <f>IF($A$6= "LBC 2012",VLOOKUP(Misafregning!A9,Licensnumre!$C:$J,3,FALSE),0)</f>
        <v>300148-MAHI</v>
      </c>
      <c r="B10" s="253" t="str">
        <f>IF($A$6 = "LBC 2012",VLOOKUP(Misafregning!A9,Licensnumre!$C:$J,2,FALSE),0)</f>
        <v>Margit Hindsdal</v>
      </c>
      <c r="C10" s="254" t="e">
        <f>IF($A$6 = "LBC 2012",VLOOKUP(Misafregning!C9,Licensnumre!$C:$J,3,FALSE),0)</f>
        <v>#N/A</v>
      </c>
      <c r="D10" s="254" t="e">
        <f>IF($A$6 = "LBC 2012",VLOOKUP(Misafregning!D9,Licensnumre!$C:$J,3,FALSE),0)</f>
        <v>#N/A</v>
      </c>
      <c r="E10" s="255" t="e">
        <f>IF($A$6 = "LBC 2012",VLOOKUP(Misafregning!E9,Licensnumre!$C:$J,3,FALSE),0)</f>
        <v>#N/A</v>
      </c>
      <c r="F10" s="153"/>
      <c r="G10" s="154"/>
      <c r="H10" s="154"/>
      <c r="I10" s="155"/>
      <c r="J10" s="30">
        <f t="shared" si="0"/>
        <v>0</v>
      </c>
    </row>
    <row r="11" spans="1:10" x14ac:dyDescent="0.4">
      <c r="A11" s="174" t="str">
        <f>IF($A$6 = "LBC 2012",VLOOKUP(Misafregning!A10,Licensnumre!$C:$J,3,FALSE),0)</f>
        <v>240570-LECH</v>
      </c>
      <c r="B11" s="253" t="str">
        <f>IF($A$6 = "LBC 2012",VLOOKUP(Misafregning!A10,Licensnumre!$C:$J,2,FALSE),0)</f>
        <v>Lena Christensen</v>
      </c>
      <c r="C11" s="254" t="e">
        <f>IF($A$6 = "LBC 2012",VLOOKUP(Misafregning!C10,Licensnumre!$C:$J,3,FALSE),0)</f>
        <v>#N/A</v>
      </c>
      <c r="D11" s="254" t="e">
        <f>IF($A$6 = "LBC 2012",VLOOKUP(Misafregning!D10,Licensnumre!$C:$J,3,FALSE),0)</f>
        <v>#N/A</v>
      </c>
      <c r="E11" s="255" t="e">
        <f>IF($A$6 = "LBC 2012",VLOOKUP(Misafregning!E10,Licensnumre!$C:$J,3,FALSE),0)</f>
        <v>#N/A</v>
      </c>
      <c r="F11" s="153"/>
      <c r="G11" s="154"/>
      <c r="H11" s="154"/>
      <c r="I11" s="155"/>
      <c r="J11" s="30">
        <f t="shared" si="0"/>
        <v>0</v>
      </c>
    </row>
    <row r="12" spans="1:10" x14ac:dyDescent="0.4">
      <c r="A12" s="174" t="str">
        <f>IF(Misafregning!A11=0,0,IF($A$6 = "LBC 2012",VLOOKUP(Misafregning!A11,Licensnumre!$C:$J,3,FALSE),0))</f>
        <v>080160-GIHA</v>
      </c>
      <c r="B12" s="253" t="str">
        <f>IF(Misafregning!A11=0,0,IF($A$6 = "LBC 2012",VLOOKUP(Misafregning!A11,Licensnumre!$C:$J,2,FALSE),0))</f>
        <v>Gitte Hansen</v>
      </c>
      <c r="C12" s="254">
        <f>IF(Misafregning!C11=0,0,IF($A$6 = "LBC 2012",VLOOKUP(Misafregning!C11,Licensnumre!$C:$J,3,FALSE),0))</f>
        <v>0</v>
      </c>
      <c r="D12" s="254">
        <f>IF(Misafregning!D11=0,0,IF($A$6 = "LBC 2012",VLOOKUP(Misafregning!D11,Licensnumre!$C:$J,3,FALSE),0))</f>
        <v>0</v>
      </c>
      <c r="E12" s="255">
        <f>IF(Misafregning!E11=0,0,IF($A$6 = "LBC 2012",VLOOKUP(Misafregning!E11,Licensnumre!$C:$J,3,FALSE),0))</f>
        <v>0</v>
      </c>
      <c r="F12" s="153"/>
      <c r="G12" s="154"/>
      <c r="H12" s="154"/>
      <c r="I12" s="155"/>
      <c r="J12" s="30">
        <f t="shared" si="0"/>
        <v>0</v>
      </c>
    </row>
    <row r="13" spans="1:10" ht="21.6" thickBot="1" x14ac:dyDescent="0.45">
      <c r="A13" s="26" t="s">
        <v>87</v>
      </c>
      <c r="B13" s="264"/>
      <c r="C13" s="265"/>
      <c r="D13" s="265"/>
      <c r="E13" s="266"/>
      <c r="F13" s="156"/>
      <c r="G13" s="157"/>
      <c r="H13" s="157"/>
      <c r="I13" s="158"/>
      <c r="J13" s="31">
        <f t="shared" si="0"/>
        <v>0</v>
      </c>
    </row>
    <row r="14" spans="1:10" x14ac:dyDescent="0.4">
      <c r="A14" s="25" t="s">
        <v>88</v>
      </c>
      <c r="B14" s="268"/>
      <c r="C14" s="269"/>
      <c r="D14" s="269"/>
      <c r="E14" s="272"/>
      <c r="F14" s="33">
        <f>IF(SUM(F9:F13)=0,0,SUM(F9:F13))</f>
        <v>0</v>
      </c>
      <c r="G14" s="163">
        <f>IF(SUM(G9:G13)=0,0,SUM(G9:G13))</f>
        <v>0</v>
      </c>
      <c r="H14" s="163">
        <f>IF(SUM(H9:H13)=0,0,SUM(H9:H13))</f>
        <v>0</v>
      </c>
      <c r="I14" s="162">
        <f>IF(SUM(I9:I13)=0,0,SUM(I9:I13))</f>
        <v>0</v>
      </c>
      <c r="J14" s="29">
        <f t="shared" si="0"/>
        <v>0</v>
      </c>
    </row>
    <row r="15" spans="1:10" ht="21.6" thickBot="1" x14ac:dyDescent="0.45">
      <c r="A15" s="26" t="s">
        <v>89</v>
      </c>
      <c r="B15" s="270"/>
      <c r="C15" s="271"/>
      <c r="D15" s="271"/>
      <c r="E15" s="273"/>
      <c r="F15" s="34">
        <f>IF(F14=0,0,IF(F14&gt;F23,2,IF(F14=F23,1,0)))</f>
        <v>0</v>
      </c>
      <c r="G15" s="23">
        <f>IF(G14=0,0,IF(G14&gt;G23,2,IF(G14=G23,1,0)))</f>
        <v>0</v>
      </c>
      <c r="H15" s="23">
        <f>IF(H14=0,0,IF(H14&gt;H23,2,IF(H14=H23,1,0)))</f>
        <v>0</v>
      </c>
      <c r="I15" s="164">
        <f>IF(I14=0,0,IF(I14&gt;I23,2,IF(I14=I23,1,0)))</f>
        <v>0</v>
      </c>
      <c r="J15" s="31">
        <f>IF(J14=0,0,IF(J14&gt;J23,2,IF(J14=J23,1,0)))</f>
        <v>0</v>
      </c>
    </row>
    <row r="16" spans="1:10" s="27" customFormat="1" ht="21.6" thickBot="1" x14ac:dyDescent="0.45"/>
    <row r="17" spans="1:12" ht="21.6" thickBot="1" x14ac:dyDescent="0.45">
      <c r="A17" s="21"/>
      <c r="B17" s="258" t="str">
        <f>E6</f>
        <v>Slagelse BC</v>
      </c>
      <c r="C17" s="259"/>
      <c r="D17" s="259"/>
      <c r="E17" s="260"/>
      <c r="F17" s="32">
        <v>1</v>
      </c>
      <c r="G17" s="32">
        <v>2</v>
      </c>
      <c r="H17" s="32">
        <v>3</v>
      </c>
      <c r="I17" s="32">
        <v>4</v>
      </c>
      <c r="J17" s="32" t="s">
        <v>26</v>
      </c>
    </row>
    <row r="18" spans="1:12" x14ac:dyDescent="0.4">
      <c r="A18" s="173">
        <f>IF($E$6="LBC 2012",VLOOKUP(Misafregning!$A$8,Licensnumre!C:G,3),0)</f>
        <v>0</v>
      </c>
      <c r="B18" s="261">
        <f>IF($E$6="LBC 2012",VLOOKUP(Misafregning!$A$8,Licensnumre!C:G,2),0)</f>
        <v>0</v>
      </c>
      <c r="C18" s="262">
        <f>IF($E$6 = "LBC 2012",VLOOKUP(Misafregning!C8,Licensnumre!$C:$J,3,FALSE),0)</f>
        <v>0</v>
      </c>
      <c r="D18" s="262">
        <f>IF($E$6 = "LBC 2012",VLOOKUP(Misafregning!D8,Licensnumre!$C:$J,3,FALSE),0)</f>
        <v>0</v>
      </c>
      <c r="E18" s="263">
        <f>IF($E$6 = "LBC 2012",VLOOKUP(Misafregning!E8,Licensnumre!$C:$J,3,FALSE),0)</f>
        <v>0</v>
      </c>
      <c r="F18" s="150"/>
      <c r="G18" s="151"/>
      <c r="H18" s="151"/>
      <c r="I18" s="152"/>
      <c r="J18" s="29">
        <f t="shared" ref="J18:J23" si="1">SUM(F18:I18)</f>
        <v>0</v>
      </c>
      <c r="L18" s="27"/>
    </row>
    <row r="19" spans="1:12" x14ac:dyDescent="0.4">
      <c r="A19" s="174">
        <f>IF($E$6 = "LBC 2012",VLOOKUP(Misafregning!A9,Licensnumre!$C:$J,3,FALSE),0)</f>
        <v>0</v>
      </c>
      <c r="B19" s="253">
        <f>IF($E$6 = "LBC 2012",VLOOKUP(Misafregning!A9,Licensnumre!$C:$J,2,FALSE),0)</f>
        <v>0</v>
      </c>
      <c r="C19" s="254">
        <f>IF($E$6 = "LBC 2012",VLOOKUP(Misafregning!C9,Licensnumre!$C:$J,3,FALSE),0)</f>
        <v>0</v>
      </c>
      <c r="D19" s="254">
        <f>IF($E$6 = "LBC 2012",VLOOKUP(Misafregning!D9,Licensnumre!$C:$J,3,FALSE),0)</f>
        <v>0</v>
      </c>
      <c r="E19" s="255">
        <f>IF($E$6 = "LBC 2012",VLOOKUP(Misafregning!E9,Licensnumre!$C:$J,3,FALSE),0)</f>
        <v>0</v>
      </c>
      <c r="F19" s="153"/>
      <c r="G19" s="154"/>
      <c r="H19" s="154"/>
      <c r="I19" s="155"/>
      <c r="J19" s="30">
        <f t="shared" si="1"/>
        <v>0</v>
      </c>
    </row>
    <row r="20" spans="1:12" x14ac:dyDescent="0.4">
      <c r="A20" s="174">
        <f>IF($E$6 = "LBC 2012",VLOOKUP(Misafregning!A10,Licensnumre!$C:$J,3,FALSE),0)</f>
        <v>0</v>
      </c>
      <c r="B20" s="253">
        <f>IF($E$6 = "LBC 2012",VLOOKUP(Misafregning!A10,Licensnumre!$C:$J,2,FALSE),0)</f>
        <v>0</v>
      </c>
      <c r="C20" s="254">
        <f>IF($E$6 = "LBC 2012",VLOOKUP(Misafregning!C10,Licensnumre!$C:$J,3,FALSE),0)</f>
        <v>0</v>
      </c>
      <c r="D20" s="254">
        <f>IF($E$6 = "LBC 2012",VLOOKUP(Misafregning!D10,Licensnumre!$C:$J,3,FALSE),0)</f>
        <v>0</v>
      </c>
      <c r="E20" s="255">
        <f>IF($E$6 = "LBC 2012",VLOOKUP(Misafregning!E10,Licensnumre!$C:$J,3,FALSE),0)</f>
        <v>0</v>
      </c>
      <c r="F20" s="153"/>
      <c r="G20" s="154"/>
      <c r="H20" s="154"/>
      <c r="I20" s="155"/>
      <c r="J20" s="30">
        <f t="shared" si="1"/>
        <v>0</v>
      </c>
    </row>
    <row r="21" spans="1:12" x14ac:dyDescent="0.4">
      <c r="A21" s="174">
        <f>IF(Misafregning!A11=0,0,IF($E$6 = "LBC 2012",VLOOKUP(Misafregning!A11,Licensnumre!$C:$J,3,FALSE),0))</f>
        <v>0</v>
      </c>
      <c r="B21" s="223">
        <f>IF(Misafregning!A11=0,0,IF($E$6 = "LBC 2012",VLOOKUP(Misafregning!A11,Licensnumre!$C:$J,2,FALSE),0))</f>
        <v>0</v>
      </c>
      <c r="C21" s="224">
        <f>IF(Misafregning!C11=0,0,IF($E$6 = "LBC 2012",VLOOKUP(Misafregning!C11,Licensnumre!$C:$J,3,FALSE),0))</f>
        <v>0</v>
      </c>
      <c r="D21" s="224">
        <f>IF(Misafregning!D11=0,0,IF($E$6 = "LBC 2012",VLOOKUP(Misafregning!D11,Licensnumre!$C:$J,3,FALSE),0))</f>
        <v>0</v>
      </c>
      <c r="E21" s="225">
        <f>IF(Misafregning!E11=0,0,IF($E$6 = "LBC 2012",VLOOKUP(Misafregning!E11,Licensnumre!$C:$J,3,FALSE),0))</f>
        <v>0</v>
      </c>
      <c r="F21" s="153"/>
      <c r="G21" s="154"/>
      <c r="H21" s="154"/>
      <c r="I21" s="155"/>
      <c r="J21" s="30">
        <f t="shared" si="1"/>
        <v>0</v>
      </c>
    </row>
    <row r="22" spans="1:12" ht="21.6" thickBot="1" x14ac:dyDescent="0.45">
      <c r="A22" s="26" t="s">
        <v>87</v>
      </c>
      <c r="B22" s="264"/>
      <c r="C22" s="265"/>
      <c r="D22" s="265"/>
      <c r="E22" s="266"/>
      <c r="F22" s="159"/>
      <c r="G22" s="160"/>
      <c r="H22" s="160"/>
      <c r="I22" s="161"/>
      <c r="J22" s="31">
        <f t="shared" si="1"/>
        <v>0</v>
      </c>
    </row>
    <row r="23" spans="1:12" x14ac:dyDescent="0.4">
      <c r="A23" s="25" t="s">
        <v>88</v>
      </c>
      <c r="B23" s="268"/>
      <c r="C23" s="269"/>
      <c r="D23" s="269"/>
      <c r="E23" s="269"/>
      <c r="F23" s="33">
        <f>IF(SUM(F18:F22)=0,0,SUM(F18:F22))</f>
        <v>0</v>
      </c>
      <c r="G23" s="22">
        <f>IF(SUM(G18:G22)=0,0,SUM(G18:G22))</f>
        <v>0</v>
      </c>
      <c r="H23" s="22">
        <f>IF(SUM(H18:H22)=0,0,SUM(H18:H22))</f>
        <v>0</v>
      </c>
      <c r="I23" s="165">
        <f>IF(SUM(I18:I22)=0,0,SUM(I18:I22))</f>
        <v>0</v>
      </c>
      <c r="J23" s="29">
        <f t="shared" si="1"/>
        <v>0</v>
      </c>
    </row>
    <row r="24" spans="1:12" ht="21.6" thickBot="1" x14ac:dyDescent="0.45">
      <c r="A24" s="26" t="s">
        <v>89</v>
      </c>
      <c r="B24" s="270"/>
      <c r="C24" s="271"/>
      <c r="D24" s="271"/>
      <c r="E24" s="271"/>
      <c r="F24" s="34">
        <f>IF(F23=0,0,IF(F23&gt;F14,2,IF(F23=F14,1,0)))</f>
        <v>0</v>
      </c>
      <c r="G24" s="24">
        <f>IF(G23=0,0,IF(G23&gt;G14,2,IF(G23=G14,1,0)))</f>
        <v>0</v>
      </c>
      <c r="H24" s="24">
        <f>IF(H23=0,0,IF(H23&gt;H14,2,IF(H23=H14,1,0)))</f>
        <v>0</v>
      </c>
      <c r="I24" s="166">
        <f>IF(I23=0,0,IF(I23&gt;I14,2,IF(I23=I14,1,0)))</f>
        <v>0</v>
      </c>
      <c r="J24" s="31">
        <f>IF(J23=0,0,IF(J23&gt;J14,2,IF(J23=J14,1,0)))</f>
        <v>0</v>
      </c>
    </row>
    <row r="30" spans="1:12" x14ac:dyDescent="0.4">
      <c r="A30" s="267" t="str">
        <f>A6</f>
        <v>LBC 2012</v>
      </c>
      <c r="B30" s="267"/>
      <c r="D30" s="267" t="str">
        <f>E6</f>
        <v>Slagelse BC</v>
      </c>
      <c r="E30" s="267"/>
      <c r="F30" s="267"/>
      <c r="H30" s="267" t="s">
        <v>90</v>
      </c>
      <c r="I30" s="267"/>
      <c r="J30" s="267"/>
    </row>
  </sheetData>
  <sheetProtection sheet="1" objects="1" scenarios="1"/>
  <mergeCells count="23">
    <mergeCell ref="B13:E13"/>
    <mergeCell ref="B18:E18"/>
    <mergeCell ref="B19:E19"/>
    <mergeCell ref="B20:E20"/>
    <mergeCell ref="H30:J30"/>
    <mergeCell ref="B22:E22"/>
    <mergeCell ref="B17:E17"/>
    <mergeCell ref="A30:B30"/>
    <mergeCell ref="D30:F30"/>
    <mergeCell ref="B23:E24"/>
    <mergeCell ref="B14:E15"/>
    <mergeCell ref="A1:B1"/>
    <mergeCell ref="A2:B2"/>
    <mergeCell ref="A3:B3"/>
    <mergeCell ref="B12:E12"/>
    <mergeCell ref="C4:J4"/>
    <mergeCell ref="C2:J2"/>
    <mergeCell ref="C1:J1"/>
    <mergeCell ref="C3:J3"/>
    <mergeCell ref="B8:E8"/>
    <mergeCell ref="B9:E9"/>
    <mergeCell ref="B10:E10"/>
    <mergeCell ref="B11:E11"/>
  </mergeCells>
  <pageMargins left="0" right="0" top="0.74803149606299213" bottom="0.74803149606299213" header="0.31496062992125984" footer="0.31496062992125984"/>
  <pageSetup paperSize="9" orientation="portrait" r:id="rId1"/>
  <ignoredErrors>
    <ignoredError sqref="A11:A12 A20:E21 B12:E13 C10:E10 C11:E11 B10 B11 C18:E18 C19:E19" unlockedFormula="1"/>
    <ignoredError sqref="F23:I23 F14:I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Zeros="0" topLeftCell="A2" zoomScaleNormal="100" workbookViewId="0">
      <selection activeCell="B16" sqref="B16:E16"/>
    </sheetView>
  </sheetViews>
  <sheetFormatPr defaultRowHeight="21" x14ac:dyDescent="0.4"/>
  <cols>
    <col min="1" max="1" width="19.5546875" style="20" customWidth="1"/>
    <col min="2" max="4" width="8.88671875" style="20"/>
    <col min="5" max="5" width="5.88671875" style="20" customWidth="1"/>
    <col min="6" max="6" width="6.77734375" style="20" customWidth="1"/>
    <col min="7" max="7" width="2.5546875" style="20" customWidth="1"/>
    <col min="8" max="8" width="6.77734375" style="20" customWidth="1"/>
    <col min="9" max="9" width="2.21875" style="20" customWidth="1"/>
    <col min="10" max="10" width="6.77734375" style="20" customWidth="1"/>
    <col min="11" max="11" width="2.21875" style="20" customWidth="1"/>
    <col min="12" max="12" width="7" style="20" customWidth="1"/>
    <col min="13" max="13" width="2.5546875" style="20" customWidth="1"/>
    <col min="14" max="16384" width="8.88671875" style="20"/>
  </cols>
  <sheetData>
    <row r="1" spans="1:14" x14ac:dyDescent="0.4">
      <c r="A1" s="280" t="s">
        <v>71</v>
      </c>
      <c r="B1" s="281"/>
      <c r="C1" s="280" t="s">
        <v>82</v>
      </c>
      <c r="D1" s="284"/>
      <c r="E1" s="284"/>
      <c r="F1" s="284"/>
      <c r="G1" s="284"/>
      <c r="H1" s="284"/>
      <c r="I1" s="284"/>
      <c r="J1" s="284"/>
      <c r="K1" s="284"/>
      <c r="L1" s="284"/>
      <c r="M1" s="281"/>
    </row>
    <row r="2" spans="1:14" ht="16.8" customHeight="1" thickBot="1" x14ac:dyDescent="0.45">
      <c r="A2" s="282">
        <f>Misafregning!B3</f>
        <v>389822</v>
      </c>
      <c r="B2" s="283"/>
      <c r="C2" s="285" t="str">
        <f>VLOOKUP($A$2,Kampe!$A$1:$U$49,19,FALSE)</f>
        <v>Øst række Damer Række 1</v>
      </c>
      <c r="D2" s="286"/>
      <c r="E2" s="286"/>
      <c r="F2" s="286"/>
      <c r="G2" s="286"/>
      <c r="H2" s="286"/>
      <c r="I2" s="286"/>
      <c r="J2" s="286"/>
      <c r="K2" s="286"/>
      <c r="L2" s="286"/>
      <c r="M2" s="287"/>
    </row>
    <row r="3" spans="1:14" ht="18.600000000000001" customHeight="1" x14ac:dyDescent="0.4">
      <c r="A3" s="280" t="s">
        <v>133</v>
      </c>
      <c r="B3" s="281"/>
      <c r="C3" s="280" t="s">
        <v>83</v>
      </c>
      <c r="D3" s="284"/>
      <c r="E3" s="284"/>
      <c r="F3" s="284"/>
      <c r="G3" s="284"/>
      <c r="H3" s="284"/>
      <c r="I3" s="284"/>
      <c r="J3" s="284"/>
      <c r="K3" s="284"/>
      <c r="L3" s="284"/>
      <c r="M3" s="281"/>
    </row>
    <row r="4" spans="1:14" ht="19.2" customHeight="1" thickBot="1" x14ac:dyDescent="0.45">
      <c r="A4" s="218">
        <f>VLOOKUP($A$2,Kampe!$A:$V,3)</f>
        <v>44170</v>
      </c>
      <c r="B4" s="219">
        <f>VLOOKUP(A2,Kampe!$A:$N,4)</f>
        <v>0.45833333333333331</v>
      </c>
      <c r="C4" s="282" t="str">
        <f>VLOOKUP($A$2,Kampe!$A$1:$U$49,5,FALSE)</f>
        <v>Køge</v>
      </c>
      <c r="D4" s="288"/>
      <c r="E4" s="288"/>
      <c r="F4" s="288"/>
      <c r="G4" s="288"/>
      <c r="H4" s="288"/>
      <c r="I4" s="288"/>
      <c r="J4" s="288"/>
      <c r="K4" s="288"/>
      <c r="L4" s="288"/>
      <c r="M4" s="283"/>
    </row>
    <row r="5" spans="1:14" ht="9" customHeight="1" thickBot="1" x14ac:dyDescent="0.45"/>
    <row r="6" spans="1:14" ht="21.6" thickBot="1" x14ac:dyDescent="0.45">
      <c r="A6" s="20" t="str">
        <f>VLOOKUP(A2,Kampe!A1:U49,20,FALSE)</f>
        <v>LBC 2012</v>
      </c>
      <c r="B6" s="202"/>
      <c r="C6" s="28" t="s">
        <v>85</v>
      </c>
      <c r="D6" s="202"/>
      <c r="E6" s="309" t="str">
        <f>VLOOKUP(A2,Kampe!A1:U49,21,FALSE)</f>
        <v>Slagelse BC</v>
      </c>
      <c r="F6" s="310"/>
      <c r="G6" s="310"/>
      <c r="H6" s="310"/>
      <c r="I6" s="310"/>
      <c r="J6" s="310"/>
      <c r="K6" s="310"/>
      <c r="L6" s="310"/>
    </row>
    <row r="7" spans="1:14" ht="7.2" customHeight="1" thickBot="1" x14ac:dyDescent="0.45"/>
    <row r="8" spans="1:14" s="37" customFormat="1" ht="16.95" customHeight="1" thickBot="1" x14ac:dyDescent="0.35">
      <c r="A8" s="35"/>
      <c r="B8" s="289" t="str">
        <f>A6</f>
        <v>LBC 2012</v>
      </c>
      <c r="C8" s="290"/>
      <c r="D8" s="290"/>
      <c r="E8" s="291"/>
      <c r="F8" s="36">
        <v>1</v>
      </c>
      <c r="G8" s="36"/>
      <c r="H8" s="36">
        <v>2</v>
      </c>
      <c r="I8" s="36"/>
      <c r="J8" s="36">
        <v>3</v>
      </c>
      <c r="K8" s="36"/>
      <c r="L8" s="36">
        <v>4</v>
      </c>
      <c r="M8" s="36"/>
      <c r="N8" s="36" t="s">
        <v>26</v>
      </c>
    </row>
    <row r="9" spans="1:14" s="37" customFormat="1" ht="16.95" customHeight="1" x14ac:dyDescent="0.35">
      <c r="A9" s="226" t="str">
        <f>IF($A$6="LBC 2012",VLOOKUP(Misafregning!$A$8,Licensnumre!$C:$G,3),0)</f>
        <v>161248-HAKR</v>
      </c>
      <c r="B9" s="274" t="str">
        <f>IF($A$6="LBC 2012",VLOOKUP(Misafregning!$A$8,Licensnumre!$C:$G,2),0)</f>
        <v>Hanne Krøger</v>
      </c>
      <c r="C9" s="275">
        <f>IF($E$6 = "LBC 2012",VLOOKUP(Misafregning!#REF!,Licensnumre!$C:$J,3,FALSE),0)</f>
        <v>0</v>
      </c>
      <c r="D9" s="275">
        <f>IF($E$6 = "LBC 2012",VLOOKUP(Misafregning!#REF!,Licensnumre!$C:$J,3,FALSE),0)</f>
        <v>0</v>
      </c>
      <c r="E9" s="276">
        <f>IF($E$6 = "LBC 2012",VLOOKUP(Misafregning!#REF!,Licensnumre!$C:$J,3,FALSE),0)</f>
        <v>0</v>
      </c>
      <c r="F9" s="142"/>
      <c r="G9" s="69">
        <v>1</v>
      </c>
      <c r="H9" s="82"/>
      <c r="I9" s="69">
        <v>1</v>
      </c>
      <c r="J9" s="82"/>
      <c r="K9" s="69">
        <v>1</v>
      </c>
      <c r="L9" s="82"/>
      <c r="M9" s="71">
        <v>1</v>
      </c>
      <c r="N9" s="51">
        <f t="shared" ref="N9:N23" si="0">SUM(F9+H9+J9+L9)</f>
        <v>0</v>
      </c>
    </row>
    <row r="10" spans="1:14" s="37" customFormat="1" ht="16.95" customHeight="1" x14ac:dyDescent="0.3">
      <c r="A10" s="175" t="str">
        <f>IF(Misafregning!A9=0,0,IF($A$6 = "LBC 2012",VLOOKUP(Misafregning!A9,Licensnumre!$C:$J,3,FALSE),0))</f>
        <v>300148-MAHI</v>
      </c>
      <c r="B10" s="292" t="str">
        <f>IF(Misafregning!A9=0,0,IF($A$6 = "LBC 2012",VLOOKUP(Misafregning!A9,Licensnumre!$C:$J,2,FALSE),0))</f>
        <v>Margit Hindsdal</v>
      </c>
      <c r="C10" s="293"/>
      <c r="D10" s="293"/>
      <c r="E10" s="294"/>
      <c r="F10" s="143"/>
      <c r="G10" s="70">
        <v>1</v>
      </c>
      <c r="H10" s="83"/>
      <c r="I10" s="70">
        <v>1</v>
      </c>
      <c r="J10" s="83"/>
      <c r="K10" s="70">
        <v>1</v>
      </c>
      <c r="L10" s="83"/>
      <c r="M10" s="72">
        <v>1</v>
      </c>
      <c r="N10" s="53">
        <f t="shared" si="0"/>
        <v>0</v>
      </c>
    </row>
    <row r="11" spans="1:14" s="37" customFormat="1" ht="16.95" customHeight="1" x14ac:dyDescent="0.3">
      <c r="A11" s="175" t="str">
        <f>IF(Misafregning!A10=0,0,IF($A$6 = "LBC 2012",VLOOKUP(Misafregning!A10,Licensnumre!$C:$J,3,FALSE),0))</f>
        <v>240570-LECH</v>
      </c>
      <c r="B11" s="292" t="str">
        <f>IF(Misafregning!A10=0,0,IF($A$6 = "LBC 2012",VLOOKUP(Misafregning!A10,Licensnumre!$C:$J,2,FALSE),0))</f>
        <v>Lena Christensen</v>
      </c>
      <c r="C11" s="293"/>
      <c r="D11" s="293"/>
      <c r="E11" s="294"/>
      <c r="F11" s="143"/>
      <c r="G11" s="70">
        <v>1</v>
      </c>
      <c r="H11" s="83"/>
      <c r="I11" s="70">
        <v>1</v>
      </c>
      <c r="J11" s="83"/>
      <c r="K11" s="70">
        <v>1</v>
      </c>
      <c r="L11" s="83"/>
      <c r="M11" s="72">
        <v>1</v>
      </c>
      <c r="N11" s="53">
        <f t="shared" si="0"/>
        <v>0</v>
      </c>
    </row>
    <row r="12" spans="1:14" s="37" customFormat="1" ht="16.95" customHeight="1" x14ac:dyDescent="0.3">
      <c r="A12" s="175" t="str">
        <f>IF(Misafregning!A11=0,0,IF($A$6 = "LBC 2012",VLOOKUP(Misafregning!A11,Licensnumre!$C:$J,3,FALSE),0))</f>
        <v>080160-GIHA</v>
      </c>
      <c r="B12" s="292" t="str">
        <f>IF(Misafregning!A11=0,0,IF($A$6 = "LBC 2012",VLOOKUP(Misafregning!A11,Licensnumre!$C:$J,2,FALSE),0))</f>
        <v>Gitte Hansen</v>
      </c>
      <c r="C12" s="293"/>
      <c r="D12" s="293"/>
      <c r="E12" s="294"/>
      <c r="F12" s="143"/>
      <c r="G12" s="70">
        <v>2</v>
      </c>
      <c r="H12" s="83"/>
      <c r="I12" s="70">
        <v>2</v>
      </c>
      <c r="J12" s="83"/>
      <c r="K12" s="70">
        <v>2</v>
      </c>
      <c r="L12" s="83"/>
      <c r="M12" s="72">
        <v>2</v>
      </c>
      <c r="N12" s="53">
        <f t="shared" si="0"/>
        <v>0</v>
      </c>
    </row>
    <row r="13" spans="1:14" s="37" customFormat="1" ht="16.95" customHeight="1" x14ac:dyDescent="0.3">
      <c r="A13" s="175">
        <f>IF(Misafregning!A12=0,0,IF($A$6 = "LBC 2012",VLOOKUP(Misafregning!A12,Licensnumre!$C:$J,3,FALSE),0))</f>
        <v>0</v>
      </c>
      <c r="B13" s="292">
        <f>IF(Misafregning!A12=0,0,IF($A$6 = "LBC 2012",VLOOKUP(Misafregning!A12,Licensnumre!$C:$J,2,FALSE),0))</f>
        <v>0</v>
      </c>
      <c r="C13" s="293">
        <f>IF(Misafregning!C12=0,0,IF($A$6 = "LBC 2012",VLOOKUP(Misafregning!C12,Licensnumre!$C:$J,3,FALSE),0))</f>
        <v>0</v>
      </c>
      <c r="D13" s="293">
        <f>IF(Misafregning!D12=0,0,IF($A$6 = "LBC 2012",VLOOKUP(Misafregning!D12,Licensnumre!$C:$J,3,FALSE),0))</f>
        <v>0</v>
      </c>
      <c r="E13" s="294">
        <f>IF(Misafregning!E12=0,0,IF($A$6 = "LBC 2012",VLOOKUP(Misafregning!E12,Licensnumre!$C:$J,3,FALSE),0))</f>
        <v>0</v>
      </c>
      <c r="F13" s="143"/>
      <c r="G13" s="70">
        <v>2</v>
      </c>
      <c r="H13" s="83"/>
      <c r="I13" s="70">
        <v>2</v>
      </c>
      <c r="J13" s="83"/>
      <c r="K13" s="70">
        <v>2</v>
      </c>
      <c r="L13" s="83"/>
      <c r="M13" s="72">
        <v>2</v>
      </c>
      <c r="N13" s="53">
        <f t="shared" si="0"/>
        <v>0</v>
      </c>
    </row>
    <row r="14" spans="1:14" s="37" customFormat="1" ht="16.95" customHeight="1" x14ac:dyDescent="0.3">
      <c r="A14" s="175">
        <f>IF(Misafregning!A13=0,0,IF($A$6 = "LBC 2012",VLOOKUP(Misafregning!A13,Licensnumre!$C:$J,3,FALSE),0))</f>
        <v>0</v>
      </c>
      <c r="B14" s="292">
        <f>IF(Misafregning!A13=0,0,IF($A$6 = "LBC 2012",VLOOKUP(Misafregning!A13,Licensnumre!$C:$J,2,FALSE),0))</f>
        <v>0</v>
      </c>
      <c r="C14" s="293">
        <f>IF(Misafregning!C13=0,0,IF($A$6 = "LBC 2012",VLOOKUP(Misafregning!C13,Licensnumre!$C:$J,3,FALSE),0))</f>
        <v>0</v>
      </c>
      <c r="D14" s="293">
        <f>IF(Misafregning!D13=0,0,IF($A$6 = "LBC 2012",VLOOKUP(Misafregning!D13,Licensnumre!$C:$J,3,FALSE),0))</f>
        <v>0</v>
      </c>
      <c r="E14" s="294">
        <f>IF(Misafregning!E13=0,0,IF($A$6 = "LBC 2012",VLOOKUP(Misafregning!E13,Licensnumre!$C:$J,3,FALSE),0))</f>
        <v>0</v>
      </c>
      <c r="F14" s="143"/>
      <c r="G14" s="70">
        <v>2</v>
      </c>
      <c r="H14" s="83"/>
      <c r="I14" s="70">
        <v>2</v>
      </c>
      <c r="J14" s="83"/>
      <c r="K14" s="70">
        <v>2</v>
      </c>
      <c r="L14" s="83"/>
      <c r="M14" s="72">
        <v>2</v>
      </c>
      <c r="N14" s="53">
        <f t="shared" si="0"/>
        <v>0</v>
      </c>
    </row>
    <row r="15" spans="1:14" s="37" customFormat="1" ht="16.95" customHeight="1" x14ac:dyDescent="0.3">
      <c r="A15" s="175">
        <f>IF(Misafregning!A14=0,0,IF($A$6 = "LBC 2012",VLOOKUP(Misafregning!A14,Licensnumre!$C:$J,3,FALSE),0))</f>
        <v>0</v>
      </c>
      <c r="B15" s="292">
        <f>IF(Misafregning!A14=0,0,IF($A$6 = "LBC 2012",VLOOKUP(Misafregning!A14,Licensnumre!$C:$J,2,FALSE),0))</f>
        <v>0</v>
      </c>
      <c r="C15" s="293">
        <f>IF(Misafregning!C14=0,0,IF($A$6 = "LBC 2012",VLOOKUP(Misafregning!C14,Licensnumre!$C:$J,3,FALSE),0))</f>
        <v>0</v>
      </c>
      <c r="D15" s="293">
        <f>IF(Misafregning!D14=0,0,IF($A$6 = "LBC 2012",VLOOKUP(Misafregning!D14,Licensnumre!$C:$J,3,FALSE),0))</f>
        <v>0</v>
      </c>
      <c r="E15" s="294">
        <f>IF(Misafregning!E14=0,0,IF($A$6 = "LBC 2012",VLOOKUP(Misafregning!E14,Licensnumre!$C:$J,3,FALSE),0))</f>
        <v>0</v>
      </c>
      <c r="F15" s="144"/>
      <c r="G15" s="86"/>
      <c r="H15" s="84"/>
      <c r="I15" s="86"/>
      <c r="J15" s="84"/>
      <c r="K15" s="86"/>
      <c r="L15" s="84"/>
      <c r="M15" s="88"/>
      <c r="N15" s="53">
        <f t="shared" si="0"/>
        <v>0</v>
      </c>
    </row>
    <row r="16" spans="1:14" s="37" customFormat="1" ht="16.95" customHeight="1" thickBot="1" x14ac:dyDescent="0.35">
      <c r="A16" s="56" t="s">
        <v>87</v>
      </c>
      <c r="B16" s="295"/>
      <c r="C16" s="296"/>
      <c r="D16" s="296"/>
      <c r="E16" s="297"/>
      <c r="F16" s="145"/>
      <c r="G16" s="87"/>
      <c r="H16" s="85"/>
      <c r="I16" s="87"/>
      <c r="J16" s="85"/>
      <c r="K16" s="87"/>
      <c r="L16" s="85"/>
      <c r="M16" s="89"/>
      <c r="N16" s="60">
        <f t="shared" si="0"/>
        <v>0</v>
      </c>
    </row>
    <row r="17" spans="1:14" s="37" customFormat="1" ht="16.95" customHeight="1" x14ac:dyDescent="0.3">
      <c r="A17" s="141" t="s">
        <v>119</v>
      </c>
      <c r="B17" s="301"/>
      <c r="C17" s="302"/>
      <c r="D17" s="302"/>
      <c r="E17" s="302"/>
      <c r="F17" s="79">
        <f>SUMIF(G9:G16,1,F9:F16)</f>
        <v>0</v>
      </c>
      <c r="G17" s="80"/>
      <c r="H17" s="80">
        <f>SUMIF(I9:I16,1,H9:H16)</f>
        <v>0</v>
      </c>
      <c r="I17" s="80"/>
      <c r="J17" s="80">
        <f>SUMIF(K9:K16,1,J9:J16)</f>
        <v>0</v>
      </c>
      <c r="K17" s="80"/>
      <c r="L17" s="80">
        <f>SUMIF(M9:M16,1,L9:L16)</f>
        <v>0</v>
      </c>
      <c r="M17" s="81"/>
      <c r="N17" s="51">
        <f t="shared" si="0"/>
        <v>0</v>
      </c>
    </row>
    <row r="18" spans="1:14" s="37" customFormat="1" ht="16.95" customHeight="1" x14ac:dyDescent="0.3">
      <c r="A18" s="52" t="s">
        <v>120</v>
      </c>
      <c r="B18" s="277"/>
      <c r="C18" s="278"/>
      <c r="D18" s="278"/>
      <c r="E18" s="278"/>
      <c r="F18" s="40">
        <f>SUMIF(G9:G16,2,F9:F16)</f>
        <v>0</v>
      </c>
      <c r="G18" s="43"/>
      <c r="H18" s="43">
        <f>SUMIF(I9:I16,2,H9:H16)</f>
        <v>0</v>
      </c>
      <c r="I18" s="43"/>
      <c r="J18" s="43">
        <f>SUMIF(K9:K16,2,J9:J16)</f>
        <v>0</v>
      </c>
      <c r="K18" s="43"/>
      <c r="L18" s="43">
        <f>SUMIF(M9:M16,2,L9:L16)</f>
        <v>0</v>
      </c>
      <c r="M18" s="62"/>
      <c r="N18" s="53">
        <f t="shared" si="0"/>
        <v>0</v>
      </c>
    </row>
    <row r="19" spans="1:14" s="37" customFormat="1" ht="16.95" customHeight="1" thickBot="1" x14ac:dyDescent="0.35">
      <c r="A19" s="54" t="s">
        <v>121</v>
      </c>
      <c r="B19" s="305"/>
      <c r="C19" s="306"/>
      <c r="D19" s="306"/>
      <c r="E19" s="306"/>
      <c r="F19" s="45">
        <f>F17+F18</f>
        <v>0</v>
      </c>
      <c r="G19" s="46"/>
      <c r="H19" s="46">
        <f>H17+H18</f>
        <v>0</v>
      </c>
      <c r="I19" s="46"/>
      <c r="J19" s="46">
        <f>J17+J18</f>
        <v>0</v>
      </c>
      <c r="K19" s="46"/>
      <c r="L19" s="46">
        <f>L17+L18</f>
        <v>0</v>
      </c>
      <c r="M19" s="63"/>
      <c r="N19" s="55">
        <f t="shared" si="0"/>
        <v>0</v>
      </c>
    </row>
    <row r="20" spans="1:14" s="37" customFormat="1" ht="16.95" customHeight="1" x14ac:dyDescent="0.3">
      <c r="A20" s="48" t="s">
        <v>122</v>
      </c>
      <c r="B20" s="307"/>
      <c r="C20" s="308"/>
      <c r="D20" s="308"/>
      <c r="E20" s="308"/>
      <c r="F20" s="38">
        <f>IF(F17 = 0,0,IF(F17 &gt;F34,2,IF(F17 =F34,1,0)))</f>
        <v>0</v>
      </c>
      <c r="G20" s="49"/>
      <c r="H20" s="49">
        <f>IF(H17 = 0,0,IF(H17 &gt;H34,2,IF(H17 =H34,1,0)))</f>
        <v>0</v>
      </c>
      <c r="I20" s="49"/>
      <c r="J20" s="49">
        <f>IF(J17 = 0,0,IF(J17 &gt;J34,2,IF(J17 =J34,1,0)))</f>
        <v>0</v>
      </c>
      <c r="K20" s="49"/>
      <c r="L20" s="49">
        <f>IF(L17 = 0,0,IF(L17 &gt;L34,2,IF(L17 =L34,1,0)))</f>
        <v>0</v>
      </c>
      <c r="M20" s="64"/>
      <c r="N20" s="51">
        <f t="shared" si="0"/>
        <v>0</v>
      </c>
    </row>
    <row r="21" spans="1:14" s="37" customFormat="1" ht="16.95" customHeight="1" x14ac:dyDescent="0.3">
      <c r="A21" s="52" t="s">
        <v>123</v>
      </c>
      <c r="B21" s="277"/>
      <c r="C21" s="278"/>
      <c r="D21" s="278"/>
      <c r="E21" s="278"/>
      <c r="F21" s="40">
        <f>IF(F18 = 0,0,IF(F18 &gt;F35,2,IF(F18 =F35,1,0)))</f>
        <v>0</v>
      </c>
      <c r="G21" s="43"/>
      <c r="H21" s="43">
        <f>IF(H18 = 0,0,IF(H18 &gt;H35,2,IF(H18 =H35,1,0)))</f>
        <v>0</v>
      </c>
      <c r="I21" s="43"/>
      <c r="J21" s="43">
        <f>IF(J18 = 0,0,IF(J18 &gt;J35,2,IF(J18 =J35,1,0)))</f>
        <v>0</v>
      </c>
      <c r="K21" s="43"/>
      <c r="L21" s="43">
        <f>IF(L18 = 0,0,IF(L18 &gt;L35,2,IF(L18 =L35,1,0)))</f>
        <v>0</v>
      </c>
      <c r="M21" s="62"/>
      <c r="N21" s="53">
        <f t="shared" si="0"/>
        <v>0</v>
      </c>
    </row>
    <row r="22" spans="1:14" s="37" customFormat="1" ht="16.95" customHeight="1" x14ac:dyDescent="0.3">
      <c r="A22" s="54" t="s">
        <v>131</v>
      </c>
      <c r="B22" s="277"/>
      <c r="C22" s="278"/>
      <c r="D22" s="278"/>
      <c r="E22" s="279"/>
      <c r="F22" s="40">
        <f>IF(F19 = 0,0,IF(F19 &gt;F36,2,IF(F19 =F36,1,0)))</f>
        <v>0</v>
      </c>
      <c r="G22" s="46"/>
      <c r="H22" s="43">
        <f>IF(H19 = 0,0,IF(H19 &gt;H36,2,IF(H19 =H36,1,0)))</f>
        <v>0</v>
      </c>
      <c r="I22" s="46"/>
      <c r="J22" s="43">
        <f>IF(J19 = 0,0,IF(J19 &gt;J36,2,IF(J19 =J36,1,0)))</f>
        <v>0</v>
      </c>
      <c r="K22" s="46"/>
      <c r="L22" s="43">
        <f>IF(L19 = 0,0,IF(L19 &gt;L36,2,IF(L19 =L36,1,0)))</f>
        <v>0</v>
      </c>
      <c r="M22" s="63"/>
      <c r="N22" s="53">
        <f t="shared" si="0"/>
        <v>0</v>
      </c>
    </row>
    <row r="23" spans="1:14" s="37" customFormat="1" ht="16.95" customHeight="1" thickBot="1" x14ac:dyDescent="0.35">
      <c r="A23" s="56" t="s">
        <v>124</v>
      </c>
      <c r="B23" s="303"/>
      <c r="C23" s="304"/>
      <c r="D23" s="304"/>
      <c r="E23" s="304"/>
      <c r="F23" s="57">
        <f>F20+F21+F22</f>
        <v>0</v>
      </c>
      <c r="G23" s="58"/>
      <c r="H23" s="58">
        <f>H20+H21+H22</f>
        <v>0</v>
      </c>
      <c r="I23" s="58"/>
      <c r="J23" s="58">
        <f>J20+J21+J22</f>
        <v>0</v>
      </c>
      <c r="K23" s="58"/>
      <c r="L23" s="58">
        <f>L20+L21+L22</f>
        <v>0</v>
      </c>
      <c r="M23" s="65"/>
      <c r="N23" s="60">
        <f t="shared" si="0"/>
        <v>0</v>
      </c>
    </row>
    <row r="24" spans="1:14" ht="10.8" customHeight="1" thickBot="1" x14ac:dyDescent="0.45">
      <c r="A24" s="311"/>
      <c r="B24" s="311"/>
      <c r="C24" s="311"/>
      <c r="D24" s="311"/>
      <c r="E24" s="311"/>
      <c r="F24" s="271"/>
      <c r="G24" s="271"/>
      <c r="H24" s="271"/>
      <c r="I24" s="271"/>
      <c r="J24" s="271"/>
      <c r="K24" s="271"/>
      <c r="L24" s="271"/>
      <c r="M24" s="271"/>
      <c r="N24" s="271"/>
    </row>
    <row r="25" spans="1:14" s="37" customFormat="1" ht="16.95" customHeight="1" thickBot="1" x14ac:dyDescent="0.35">
      <c r="A25" s="35"/>
      <c r="B25" s="289" t="str">
        <f>E6</f>
        <v>Slagelse BC</v>
      </c>
      <c r="C25" s="290"/>
      <c r="D25" s="290"/>
      <c r="E25" s="291"/>
      <c r="F25" s="36">
        <v>1</v>
      </c>
      <c r="G25" s="36"/>
      <c r="H25" s="36">
        <v>2</v>
      </c>
      <c r="I25" s="36"/>
      <c r="J25" s="36">
        <v>3</v>
      </c>
      <c r="K25" s="36"/>
      <c r="L25" s="36">
        <v>4</v>
      </c>
      <c r="M25" s="36"/>
      <c r="N25" s="36" t="s">
        <v>26</v>
      </c>
    </row>
    <row r="26" spans="1:14" s="37" customFormat="1" ht="16.95" customHeight="1" x14ac:dyDescent="0.35">
      <c r="A26" s="226">
        <f>IF($E$6="LBC 2012",VLOOKUP(Misafregning!$A$8,Licensnumre!C:G,3),0)</f>
        <v>0</v>
      </c>
      <c r="B26" s="274">
        <f>IF($E$6="LBC 2012",VLOOKUP(Misafregning!$A$8,Licensnumre!C:G,2),0)</f>
        <v>0</v>
      </c>
      <c r="C26" s="275">
        <f>IF($E$6 = "LBC 2012",VLOOKUP(Misafregning!C16,Licensnumre!$C:$J,3,FALSE),0)</f>
        <v>0</v>
      </c>
      <c r="D26" s="275">
        <f>IF($E$6 = "LBC 2012",VLOOKUP(Misafregning!D16,Licensnumre!$C:$J,3,FALSE),0)</f>
        <v>0</v>
      </c>
      <c r="E26" s="276">
        <f>IF($E$6 = "LBC 2012",VLOOKUP(Misafregning!E16,Licensnumre!$C:$J,3,FALSE),0)</f>
        <v>0</v>
      </c>
      <c r="F26" s="142"/>
      <c r="G26" s="69">
        <v>1</v>
      </c>
      <c r="H26" s="82"/>
      <c r="I26" s="69">
        <v>2</v>
      </c>
      <c r="J26" s="82"/>
      <c r="K26" s="69">
        <v>1</v>
      </c>
      <c r="L26" s="82"/>
      <c r="M26" s="71">
        <v>2</v>
      </c>
      <c r="N26" s="51">
        <f t="shared" ref="N26:N38" si="1">SUM(F26+H26+J26+L26)</f>
        <v>0</v>
      </c>
    </row>
    <row r="27" spans="1:14" s="37" customFormat="1" ht="16.95" customHeight="1" x14ac:dyDescent="0.3">
      <c r="A27" s="175">
        <f>IF(Misafregning!A9=0,0,IF($E$6 = "LBC 2012",VLOOKUP(Misafregning!A9,Licensnumre!$C:$J,3,FALSE),0))</f>
        <v>0</v>
      </c>
      <c r="B27" s="298">
        <f>IF(Misafregning!A9=0,0,IF($E$6 = "LBC 2012",VLOOKUP(Misafregning!A9,Licensnumre!$C:$J,2,FALSE),0))</f>
        <v>0</v>
      </c>
      <c r="C27" s="299">
        <f>IF(Misafregning!C26=0,0,IF($A$6 = "LBC 2012",VLOOKUP(Misafregning!C26,Licensnumre!$C:$J,3,FALSE),0))</f>
        <v>0</v>
      </c>
      <c r="D27" s="299">
        <f>IF(Misafregning!D26=0,0,IF($A$6 = "LBC 2012",VLOOKUP(Misafregning!D26,Licensnumre!$C:$J,3,FALSE),0))</f>
        <v>0</v>
      </c>
      <c r="E27" s="300">
        <f>IF(Misafregning!E26=0,0,IF($A$6 = "LBC 2012",VLOOKUP(Misafregning!E26,Licensnumre!$C:$J,3,FALSE),0))</f>
        <v>0</v>
      </c>
      <c r="F27" s="143"/>
      <c r="G27" s="70">
        <v>1</v>
      </c>
      <c r="H27" s="83"/>
      <c r="I27" s="70">
        <v>2</v>
      </c>
      <c r="J27" s="83"/>
      <c r="K27" s="70">
        <v>1</v>
      </c>
      <c r="L27" s="83"/>
      <c r="M27" s="72">
        <v>2</v>
      </c>
      <c r="N27" s="53">
        <f t="shared" si="1"/>
        <v>0</v>
      </c>
    </row>
    <row r="28" spans="1:14" s="37" customFormat="1" ht="16.95" customHeight="1" x14ac:dyDescent="0.3">
      <c r="A28" s="175">
        <f>IF(Misafregning!A10=0,0,IF($E$6 = "LBC 2012",VLOOKUP(Misafregning!A10,Licensnumre!$C:$J,3,FALSE),0))</f>
        <v>0</v>
      </c>
      <c r="B28" s="298">
        <f>IF(Misafregning!A10=0,0,IF($E$6 = "LBC 2012",VLOOKUP(Misafregning!A10,Licensnumre!$C:$J,2,FALSE),0))</f>
        <v>0</v>
      </c>
      <c r="C28" s="299">
        <f>IF(Misafregning!C27=0,0,IF($A$6 = "LBC 2012",VLOOKUP(Misafregning!C27,Licensnumre!$C:$J,3,FALSE),0))</f>
        <v>0</v>
      </c>
      <c r="D28" s="299">
        <f>IF(Misafregning!D27=0,0,IF($A$6 = "LBC 2012",VLOOKUP(Misafregning!D27,Licensnumre!$C:$J,3,FALSE),0))</f>
        <v>0</v>
      </c>
      <c r="E28" s="300">
        <f>IF(Misafregning!E27=0,0,IF($A$6 = "LBC 2012",VLOOKUP(Misafregning!E27,Licensnumre!$C:$J,3,FALSE),0))</f>
        <v>0</v>
      </c>
      <c r="F28" s="143"/>
      <c r="G28" s="70">
        <v>1</v>
      </c>
      <c r="H28" s="83"/>
      <c r="I28" s="70">
        <v>2</v>
      </c>
      <c r="J28" s="83"/>
      <c r="K28" s="70">
        <v>1</v>
      </c>
      <c r="L28" s="83"/>
      <c r="M28" s="72">
        <v>2</v>
      </c>
      <c r="N28" s="53">
        <f t="shared" si="1"/>
        <v>0</v>
      </c>
    </row>
    <row r="29" spans="1:14" s="37" customFormat="1" ht="16.95" customHeight="1" x14ac:dyDescent="0.3">
      <c r="A29" s="175">
        <f>IF(Misafregning!A11=0,0,IF($E$6 = "LBC 2012",VLOOKUP(Misafregning!A11,Licensnumre!$C:$J,3,FALSE),0))</f>
        <v>0</v>
      </c>
      <c r="B29" s="298">
        <f>IF(Misafregning!A11=0,0,IF($E$6 = "LBC 2012",VLOOKUP(Misafregning!A11,Licensnumre!$C:$J,2,FALSE),0))</f>
        <v>0</v>
      </c>
      <c r="C29" s="299" t="e">
        <f>IF(Misafregning!C28=0,0,IF($A$6 = "LBC 2012",VLOOKUP(Misafregning!C28,Licensnumre!$C:$J,3,FALSE),0))</f>
        <v>#N/A</v>
      </c>
      <c r="D29" s="299" t="e">
        <f>IF(Misafregning!D28=0,0,IF($A$6 = "LBC 2012",VLOOKUP(Misafregning!D28,Licensnumre!$C:$J,3,FALSE),0))</f>
        <v>#N/A</v>
      </c>
      <c r="E29" s="300" t="e">
        <f>IF(Misafregning!E28=0,0,IF($A$6 = "LBC 2012",VLOOKUP(Misafregning!E28,Licensnumre!$C:$J,3,FALSE),0))</f>
        <v>#N/A</v>
      </c>
      <c r="F29" s="143"/>
      <c r="G29" s="70">
        <v>2</v>
      </c>
      <c r="H29" s="83"/>
      <c r="I29" s="70">
        <v>1</v>
      </c>
      <c r="J29" s="83"/>
      <c r="K29" s="70">
        <v>2</v>
      </c>
      <c r="L29" s="83"/>
      <c r="M29" s="72">
        <v>1</v>
      </c>
      <c r="N29" s="53">
        <f t="shared" si="1"/>
        <v>0</v>
      </c>
    </row>
    <row r="30" spans="1:14" s="37" customFormat="1" ht="16.95" customHeight="1" x14ac:dyDescent="0.3">
      <c r="A30" s="175">
        <f>IF(Misafregning!A12=0,0,IF($E$6 = "LBC 2012",VLOOKUP(Misafregning!A12,Licensnumre!$C:$J,3,FALSE),0))</f>
        <v>0</v>
      </c>
      <c r="B30" s="298">
        <f>IF(Misafregning!A12=0,0,IF($E$6 = "LBC 2012",VLOOKUP(Misafregning!A12,Licensnumre!$C:$J,2,FALSE),0))</f>
        <v>0</v>
      </c>
      <c r="C30" s="299">
        <f>IF(Misafregning!C29=0,0,IF($A$6 = "LBC 2012",VLOOKUP(Misafregning!C29,Licensnumre!$C:$J,3,FALSE),0))</f>
        <v>0</v>
      </c>
      <c r="D30" s="299">
        <f>IF(Misafregning!D29=0,0,IF($A$6 = "LBC 2012",VLOOKUP(Misafregning!D29,Licensnumre!$C:$J,3,FALSE),0))</f>
        <v>0</v>
      </c>
      <c r="E30" s="300">
        <f>IF(Misafregning!E29=0,0,IF($A$6 = "LBC 2012",VLOOKUP(Misafregning!E29,Licensnumre!$C:$J,3,FALSE),0))</f>
        <v>0</v>
      </c>
      <c r="F30" s="143"/>
      <c r="G30" s="70">
        <v>2</v>
      </c>
      <c r="H30" s="83"/>
      <c r="I30" s="70">
        <v>1</v>
      </c>
      <c r="J30" s="83"/>
      <c r="K30" s="70">
        <v>2</v>
      </c>
      <c r="L30" s="83"/>
      <c r="M30" s="72">
        <v>1</v>
      </c>
      <c r="N30" s="53">
        <f t="shared" si="1"/>
        <v>0</v>
      </c>
    </row>
    <row r="31" spans="1:14" s="37" customFormat="1" ht="16.95" customHeight="1" x14ac:dyDescent="0.3">
      <c r="A31" s="175">
        <f>IF(Misafregning!A13=0,0,IF($E$6 = "LBC 2012",VLOOKUP(Misafregning!A13,Licensnumre!$C:$J,3,FALSE),0))</f>
        <v>0</v>
      </c>
      <c r="B31" s="298">
        <f>IF(Misafregning!A13=0,0,IF($E$6 = "LBC 2012",VLOOKUP(Misafregning!A13,Licensnumre!$C:$J,2,FALSE),0))</f>
        <v>0</v>
      </c>
      <c r="C31" s="299">
        <f>IF(Misafregning!C30=0,0,IF($A$6 = "LBC 2012",VLOOKUP(Misafregning!C30,Licensnumre!$C:$J,3,FALSE),0))</f>
        <v>0</v>
      </c>
      <c r="D31" s="299">
        <f>IF(Misafregning!D30=0,0,IF($A$6 = "LBC 2012",VLOOKUP(Misafregning!D30,Licensnumre!$C:$J,3,FALSE),0))</f>
        <v>0</v>
      </c>
      <c r="E31" s="300">
        <f>IF(Misafregning!E30=0,0,IF($A$6 = "LBC 2012",VLOOKUP(Misafregning!E30,Licensnumre!$C:$J,3,FALSE),0))</f>
        <v>0</v>
      </c>
      <c r="F31" s="143"/>
      <c r="G31" s="70">
        <v>2</v>
      </c>
      <c r="H31" s="83"/>
      <c r="I31" s="70">
        <v>1</v>
      </c>
      <c r="J31" s="83"/>
      <c r="K31" s="70">
        <v>2</v>
      </c>
      <c r="L31" s="83"/>
      <c r="M31" s="72">
        <v>1</v>
      </c>
      <c r="N31" s="53">
        <f t="shared" si="1"/>
        <v>0</v>
      </c>
    </row>
    <row r="32" spans="1:14" s="37" customFormat="1" ht="16.95" customHeight="1" x14ac:dyDescent="0.3">
      <c r="A32" s="175">
        <f>IF(Misafregning!A14=0,0,IF($E$6 = "LBC 2012",VLOOKUP(Misafregning!A14,Licensnumre!$C:$J,3,FALSE),0))</f>
        <v>0</v>
      </c>
      <c r="B32" s="298">
        <f>IF(Misafregning!A14=0,0,IF($E$6 = "LBC 2012",VLOOKUP(Misafregning!A14,Licensnumre!$C:$J,2,FALSE),0))</f>
        <v>0</v>
      </c>
      <c r="C32" s="299">
        <f>IF(Misafregning!C31=0,0,IF($A$6 = "LBC 2012",VLOOKUP(Misafregning!C31,Licensnumre!$C:$J,3,FALSE),0))</f>
        <v>0</v>
      </c>
      <c r="D32" s="299">
        <f>IF(Misafregning!D31=0,0,IF($A$6 = "LBC 2012",VLOOKUP(Misafregning!D31,Licensnumre!$C:$J,3,FALSE),0))</f>
        <v>0</v>
      </c>
      <c r="E32" s="300">
        <f>IF(Misafregning!E31=0,0,IF($A$6 = "LBC 2012",VLOOKUP(Misafregning!E31,Licensnumre!$C:$J,3,FALSE),0))</f>
        <v>0</v>
      </c>
      <c r="F32" s="144"/>
      <c r="G32" s="86"/>
      <c r="H32" s="84"/>
      <c r="I32" s="86"/>
      <c r="J32" s="84"/>
      <c r="K32" s="86"/>
      <c r="L32" s="84"/>
      <c r="M32" s="88"/>
      <c r="N32" s="53">
        <f t="shared" si="1"/>
        <v>0</v>
      </c>
    </row>
    <row r="33" spans="1:14" s="37" customFormat="1" ht="16.95" customHeight="1" thickBot="1" x14ac:dyDescent="0.35">
      <c r="A33" s="56" t="s">
        <v>87</v>
      </c>
      <c r="B33" s="312"/>
      <c r="C33" s="313"/>
      <c r="D33" s="313"/>
      <c r="E33" s="314"/>
      <c r="F33" s="176"/>
      <c r="G33" s="90"/>
      <c r="H33" s="91"/>
      <c r="I33" s="90"/>
      <c r="J33" s="91"/>
      <c r="K33" s="90"/>
      <c r="L33" s="91"/>
      <c r="M33" s="92"/>
      <c r="N33" s="60">
        <f t="shared" si="1"/>
        <v>0</v>
      </c>
    </row>
    <row r="34" spans="1:14" s="37" customFormat="1" ht="16.95" customHeight="1" x14ac:dyDescent="0.3">
      <c r="A34" s="141" t="s">
        <v>119</v>
      </c>
      <c r="B34" s="301"/>
      <c r="C34" s="302"/>
      <c r="D34" s="302"/>
      <c r="E34" s="302"/>
      <c r="F34" s="38">
        <f>SUMIF(G26:G33,1,F26:F33)</f>
        <v>0</v>
      </c>
      <c r="G34" s="49"/>
      <c r="H34" s="49">
        <f>SUMIF(I26:I33,1,H26:H33)</f>
        <v>0</v>
      </c>
      <c r="I34" s="49"/>
      <c r="J34" s="49">
        <f>SUMIF(K26:K33,1,J26:J33)</f>
        <v>0</v>
      </c>
      <c r="K34" s="49"/>
      <c r="L34" s="49">
        <f>SUMIF(M26:M33,1,L26:L33)</f>
        <v>0</v>
      </c>
      <c r="M34" s="50"/>
      <c r="N34" s="51">
        <f t="shared" si="1"/>
        <v>0</v>
      </c>
    </row>
    <row r="35" spans="1:14" s="37" customFormat="1" ht="16.95" customHeight="1" x14ac:dyDescent="0.3">
      <c r="A35" s="52" t="s">
        <v>120</v>
      </c>
      <c r="B35" s="277"/>
      <c r="C35" s="278"/>
      <c r="D35" s="278"/>
      <c r="E35" s="278"/>
      <c r="F35" s="40">
        <f>SUMIF(G26:G33,2,F26:F33)</f>
        <v>0</v>
      </c>
      <c r="G35" s="43"/>
      <c r="H35" s="43">
        <f>SUMIF(I26:I33,2,H26:H33)</f>
        <v>0</v>
      </c>
      <c r="I35" s="43"/>
      <c r="J35" s="43">
        <f>SUMIF(K26:K33,2,J26:J33)</f>
        <v>0</v>
      </c>
      <c r="K35" s="43"/>
      <c r="L35" s="43">
        <f>SUMIF(M26:M33,2,L26:L33)</f>
        <v>0</v>
      </c>
      <c r="M35" s="44"/>
      <c r="N35" s="53">
        <f t="shared" si="1"/>
        <v>0</v>
      </c>
    </row>
    <row r="36" spans="1:14" s="37" customFormat="1" ht="16.95" customHeight="1" thickBot="1" x14ac:dyDescent="0.35">
      <c r="A36" s="54" t="s">
        <v>121</v>
      </c>
      <c r="B36" s="305"/>
      <c r="C36" s="306"/>
      <c r="D36" s="306"/>
      <c r="E36" s="306"/>
      <c r="F36" s="45">
        <f>F34+F35</f>
        <v>0</v>
      </c>
      <c r="G36" s="46"/>
      <c r="H36" s="46">
        <f>H34+H35</f>
        <v>0</v>
      </c>
      <c r="I36" s="46"/>
      <c r="J36" s="46">
        <f>J34+J35</f>
        <v>0</v>
      </c>
      <c r="K36" s="46"/>
      <c r="L36" s="46">
        <f>L34+L35</f>
        <v>0</v>
      </c>
      <c r="M36" s="47"/>
      <c r="N36" s="60">
        <f t="shared" si="1"/>
        <v>0</v>
      </c>
    </row>
    <row r="37" spans="1:14" s="37" customFormat="1" ht="16.95" customHeight="1" x14ac:dyDescent="0.3">
      <c r="A37" s="48" t="s">
        <v>122</v>
      </c>
      <c r="B37" s="307"/>
      <c r="C37" s="308"/>
      <c r="D37" s="308"/>
      <c r="E37" s="308"/>
      <c r="F37" s="38">
        <f>IF(F34=0,0,IF(F34&gt;F17,2,IF(F34=F17,1,0)))</f>
        <v>0</v>
      </c>
      <c r="G37" s="49"/>
      <c r="H37" s="49">
        <f>IF(H34=0,0,IF(H34&gt;H17,2,IF(H34=H17,1,0)))</f>
        <v>0</v>
      </c>
      <c r="I37" s="49"/>
      <c r="J37" s="49">
        <f>IF(J34=0,0,IF(J34&gt;J17,2,IF(J34=J17,1,0)))</f>
        <v>0</v>
      </c>
      <c r="K37" s="49"/>
      <c r="L37" s="49">
        <f>IF(L34=0,0,IF(L34&gt;L17,2,IF(L34=L17,1,0)))</f>
        <v>0</v>
      </c>
      <c r="M37" s="50"/>
      <c r="N37" s="39">
        <f t="shared" si="1"/>
        <v>0</v>
      </c>
    </row>
    <row r="38" spans="1:14" s="37" customFormat="1" ht="16.95" customHeight="1" x14ac:dyDescent="0.3">
      <c r="A38" s="52" t="s">
        <v>123</v>
      </c>
      <c r="B38" s="277"/>
      <c r="C38" s="278"/>
      <c r="D38" s="278"/>
      <c r="E38" s="278"/>
      <c r="F38" s="40">
        <f>IF(F35=0,0,IF(F35&gt;F18,2,IF(F35=F18,1,0)))</f>
        <v>0</v>
      </c>
      <c r="G38" s="43"/>
      <c r="H38" s="43">
        <f>IF(H35=0,0,IF(H35&gt;H18,2,IF(H35=H18,1,0)))</f>
        <v>0</v>
      </c>
      <c r="I38" s="43"/>
      <c r="J38" s="43">
        <f>IF(J35=0,0,IF(J35&gt;J18,2,IF(J35=J18,1,0)))</f>
        <v>0</v>
      </c>
      <c r="K38" s="43"/>
      <c r="L38" s="43">
        <f>IF(L35=0,0,IF(L35&gt;L18,2,IF(L35=L18,1,0)))</f>
        <v>0</v>
      </c>
      <c r="M38" s="44"/>
      <c r="N38" s="41">
        <f t="shared" si="1"/>
        <v>0</v>
      </c>
    </row>
    <row r="39" spans="1:14" s="37" customFormat="1" ht="16.95" customHeight="1" x14ac:dyDescent="0.3">
      <c r="A39" s="54" t="s">
        <v>131</v>
      </c>
      <c r="B39" s="277"/>
      <c r="C39" s="278"/>
      <c r="D39" s="278"/>
      <c r="E39" s="279"/>
      <c r="F39" s="40">
        <f>IF(F36=0,0,IF(F36&gt;F19,2,IF(F36=F19,1,0)))</f>
        <v>0</v>
      </c>
      <c r="G39" s="46"/>
      <c r="H39" s="43">
        <f>IF(H36=0,0,IF(H36&gt;H19,2,IF(H36=H19,1,0)))</f>
        <v>0</v>
      </c>
      <c r="I39" s="46"/>
      <c r="J39" s="43">
        <f>IF(J36=0,0,IF(J36&gt;J19,2,IF(J36=J19,1,0)))</f>
        <v>0</v>
      </c>
      <c r="K39" s="46"/>
      <c r="L39" s="43">
        <f>IF(L36=0,0,IF(L36&gt;L19,2,IF(L36=L19,1,0)))</f>
        <v>0</v>
      </c>
      <c r="M39" s="47"/>
      <c r="N39" s="42"/>
    </row>
    <row r="40" spans="1:14" s="37" customFormat="1" ht="16.95" customHeight="1" thickBot="1" x14ac:dyDescent="0.35">
      <c r="A40" s="56" t="s">
        <v>124</v>
      </c>
      <c r="B40" s="305"/>
      <c r="C40" s="306"/>
      <c r="D40" s="306"/>
      <c r="E40" s="306"/>
      <c r="F40" s="57">
        <f>F37+F38+F39</f>
        <v>0</v>
      </c>
      <c r="G40" s="58"/>
      <c r="H40" s="58">
        <f>H37+H38+H39</f>
        <v>0</v>
      </c>
      <c r="I40" s="58"/>
      <c r="J40" s="58">
        <f>J37+J38+J39</f>
        <v>0</v>
      </c>
      <c r="K40" s="58"/>
      <c r="L40" s="58">
        <f>L37+L38+L39</f>
        <v>0</v>
      </c>
      <c r="M40" s="59"/>
      <c r="N40" s="66">
        <f>SUM(F40+H40+J40+L40)</f>
        <v>0</v>
      </c>
    </row>
    <row r="43" spans="1:14" x14ac:dyDescent="0.4">
      <c r="A43" s="267" t="str">
        <f>A6</f>
        <v>LBC 2012</v>
      </c>
      <c r="B43" s="267"/>
      <c r="D43" s="267" t="str">
        <f>E6</f>
        <v>Slagelse BC</v>
      </c>
      <c r="E43" s="267"/>
      <c r="F43" s="267"/>
      <c r="G43" s="61"/>
      <c r="J43" s="267" t="s">
        <v>90</v>
      </c>
      <c r="K43" s="267"/>
      <c r="L43" s="267"/>
      <c r="M43" s="267"/>
      <c r="N43" s="267"/>
    </row>
  </sheetData>
  <sheetProtection sheet="1" objects="1" scenarios="1" selectLockedCells="1"/>
  <mergeCells count="44">
    <mergeCell ref="E6:L6"/>
    <mergeCell ref="B40:E40"/>
    <mergeCell ref="A43:B43"/>
    <mergeCell ref="D43:F43"/>
    <mergeCell ref="J43:N43"/>
    <mergeCell ref="A24:N24"/>
    <mergeCell ref="B38:E38"/>
    <mergeCell ref="B34:E34"/>
    <mergeCell ref="B35:E35"/>
    <mergeCell ref="B36:E36"/>
    <mergeCell ref="B37:E37"/>
    <mergeCell ref="B29:E29"/>
    <mergeCell ref="B30:E30"/>
    <mergeCell ref="B31:E31"/>
    <mergeCell ref="B32:E32"/>
    <mergeCell ref="B33:E33"/>
    <mergeCell ref="B15:E15"/>
    <mergeCell ref="B14:E14"/>
    <mergeCell ref="B27:E27"/>
    <mergeCell ref="B28:E28"/>
    <mergeCell ref="B17:E17"/>
    <mergeCell ref="B26:E26"/>
    <mergeCell ref="B23:E23"/>
    <mergeCell ref="B25:E25"/>
    <mergeCell ref="B18:E18"/>
    <mergeCell ref="B19:E19"/>
    <mergeCell ref="B20:E20"/>
    <mergeCell ref="B21:E21"/>
    <mergeCell ref="B9:E9"/>
    <mergeCell ref="B22:E22"/>
    <mergeCell ref="B39:E39"/>
    <mergeCell ref="A1:B1"/>
    <mergeCell ref="A2:B2"/>
    <mergeCell ref="A3:B3"/>
    <mergeCell ref="C1:M1"/>
    <mergeCell ref="C2:M2"/>
    <mergeCell ref="C3:M3"/>
    <mergeCell ref="C4:M4"/>
    <mergeCell ref="B8:E8"/>
    <mergeCell ref="B10:E10"/>
    <mergeCell ref="B11:E11"/>
    <mergeCell ref="B12:E12"/>
    <mergeCell ref="B16:E16"/>
    <mergeCell ref="B13:E13"/>
  </mergeCells>
  <pageMargins left="0" right="0" top="0.74803149606299213" bottom="0.74803149606299213" header="0.31496062992125984" footer="0.31496062992125984"/>
  <pageSetup paperSize="9" orientation="portrait" r:id="rId1"/>
  <ignoredErrors>
    <ignoredError sqref="A27:E33 A10:A16 B12:E15 B10 B11 C16:E1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showZeros="0" zoomScaleNormal="100" workbookViewId="0">
      <selection activeCell="A28" sqref="A28:E28"/>
    </sheetView>
  </sheetViews>
  <sheetFormatPr defaultRowHeight="15" customHeight="1" x14ac:dyDescent="0.4"/>
  <cols>
    <col min="1" max="1" width="15.77734375" style="20" customWidth="1"/>
    <col min="2" max="2" width="8.88671875" style="20"/>
    <col min="3" max="3" width="3.77734375" style="20" customWidth="1"/>
    <col min="4" max="4" width="8.88671875" style="20" customWidth="1"/>
    <col min="5" max="5" width="5.77734375" style="20" customWidth="1"/>
    <col min="6" max="6" width="6.33203125" style="20" customWidth="1"/>
    <col min="7" max="7" width="2.109375" style="20" customWidth="1"/>
    <col min="8" max="8" width="6.33203125" style="20" customWidth="1"/>
    <col min="9" max="9" width="2.109375" style="20" customWidth="1"/>
    <col min="10" max="10" width="6.33203125" style="20" customWidth="1"/>
    <col min="11" max="11" width="2.109375" style="20" customWidth="1"/>
    <col min="12" max="12" width="6.33203125" style="20" customWidth="1"/>
    <col min="13" max="13" width="2.109375" style="20" customWidth="1"/>
    <col min="14" max="14" width="6.33203125" style="20" customWidth="1"/>
    <col min="15" max="15" width="2.109375" style="20" customWidth="1"/>
    <col min="16" max="16" width="6.33203125" style="20" customWidth="1"/>
    <col min="17" max="17" width="2.109375" style="20" customWidth="1"/>
    <col min="18" max="18" width="6.77734375" style="20" customWidth="1"/>
    <col min="19" max="16384" width="8.88671875" style="20"/>
  </cols>
  <sheetData>
    <row r="1" spans="1:18" ht="15" customHeight="1" x14ac:dyDescent="0.4">
      <c r="A1" s="350" t="s">
        <v>71</v>
      </c>
      <c r="B1" s="351"/>
      <c r="C1" s="352"/>
      <c r="D1" s="350" t="s">
        <v>82</v>
      </c>
      <c r="E1" s="351"/>
      <c r="F1" s="351"/>
      <c r="G1" s="351"/>
      <c r="H1" s="351"/>
      <c r="I1" s="351"/>
      <c r="J1" s="351"/>
      <c r="K1" s="351"/>
      <c r="L1" s="351"/>
      <c r="M1" s="351"/>
      <c r="N1" s="352"/>
    </row>
    <row r="2" spans="1:18" ht="15" customHeight="1" thickBot="1" x14ac:dyDescent="0.45">
      <c r="A2" s="353">
        <f>Misafregning!B3</f>
        <v>389822</v>
      </c>
      <c r="B2" s="354"/>
      <c r="C2" s="355"/>
      <c r="D2" s="359" t="str">
        <f>VLOOKUP($A$2,Kampe!$A$1:$U$49,19,FALSE)</f>
        <v>Øst række Damer Række 1</v>
      </c>
      <c r="E2" s="360"/>
      <c r="F2" s="360"/>
      <c r="G2" s="360"/>
      <c r="H2" s="360"/>
      <c r="I2" s="360"/>
      <c r="J2" s="360"/>
      <c r="K2" s="360"/>
      <c r="L2" s="360"/>
      <c r="M2" s="360"/>
      <c r="N2" s="361"/>
    </row>
    <row r="3" spans="1:18" ht="15" customHeight="1" x14ac:dyDescent="0.4">
      <c r="A3" s="356" t="s">
        <v>132</v>
      </c>
      <c r="B3" s="357"/>
      <c r="C3" s="358"/>
      <c r="D3" s="351" t="s">
        <v>83</v>
      </c>
      <c r="E3" s="351"/>
      <c r="F3" s="351"/>
      <c r="G3" s="351"/>
      <c r="H3" s="351"/>
      <c r="I3" s="351"/>
      <c r="J3" s="351"/>
      <c r="K3" s="351"/>
      <c r="L3" s="351"/>
      <c r="M3" s="351"/>
      <c r="N3" s="352"/>
    </row>
    <row r="4" spans="1:18" ht="15" customHeight="1" thickBot="1" x14ac:dyDescent="0.45">
      <c r="A4" s="220">
        <f>VLOOKUP($A$2,Kampe!$A:$V,3)</f>
        <v>44170</v>
      </c>
      <c r="B4" s="222">
        <f>VLOOKUP(A2,Kampe!$A:$N,4)</f>
        <v>0.45833333333333331</v>
      </c>
      <c r="C4" s="221"/>
      <c r="D4" s="360" t="str">
        <f>VLOOKUP($A$2,Kampe!$A$1:$U$49,5,FALSE)</f>
        <v>Køge</v>
      </c>
      <c r="E4" s="360"/>
      <c r="F4" s="360"/>
      <c r="G4" s="360"/>
      <c r="H4" s="360"/>
      <c r="I4" s="360"/>
      <c r="J4" s="360"/>
      <c r="K4" s="360"/>
      <c r="L4" s="360"/>
      <c r="M4" s="360"/>
      <c r="N4" s="361"/>
    </row>
    <row r="5" spans="1:18" ht="9" customHeight="1" thickBot="1" x14ac:dyDescent="0.4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1:18" ht="22.2" customHeight="1" thickBot="1" x14ac:dyDescent="0.45">
      <c r="A6" s="93" t="str">
        <f>VLOOKUP(A2,Kampe!A1:U49,20,FALSE)</f>
        <v>LBC 2012</v>
      </c>
      <c r="B6" s="203"/>
      <c r="C6" s="94" t="s">
        <v>85</v>
      </c>
      <c r="D6" s="203"/>
      <c r="E6" s="93" t="str">
        <f>VLOOKUP(A2,Kampe!A1:U49,21,FALSE)</f>
        <v>Slagelse BC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1:18" ht="9" customHeight="1" thickBot="1" x14ac:dyDescent="0.4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1:18" s="37" customFormat="1" ht="15" customHeight="1" thickBot="1" x14ac:dyDescent="0.35">
      <c r="A8" s="95"/>
      <c r="B8" s="336" t="str">
        <f>A6</f>
        <v>LBC 2012</v>
      </c>
      <c r="C8" s="337"/>
      <c r="D8" s="337"/>
      <c r="E8" s="337"/>
      <c r="F8" s="96">
        <v>1</v>
      </c>
      <c r="G8" s="97"/>
      <c r="H8" s="97">
        <v>2</v>
      </c>
      <c r="I8" s="97"/>
      <c r="J8" s="97">
        <v>3</v>
      </c>
      <c r="K8" s="97"/>
      <c r="L8" s="97">
        <v>4</v>
      </c>
      <c r="M8" s="97"/>
      <c r="N8" s="97">
        <v>5</v>
      </c>
      <c r="O8" s="97"/>
      <c r="P8" s="97">
        <v>6</v>
      </c>
      <c r="Q8" s="98"/>
      <c r="R8" s="99" t="s">
        <v>26</v>
      </c>
    </row>
    <row r="9" spans="1:18" s="37" customFormat="1" ht="15" customHeight="1" x14ac:dyDescent="0.3">
      <c r="A9" s="227" t="str">
        <f>IF($A$6="LBC 2012",VLOOKUP(Misafregning!$A$8,Licensnumre!$C:$G,3),0)</f>
        <v>161248-HAKR</v>
      </c>
      <c r="B9" s="338" t="str">
        <f>IF($A$6="LBC 2012",VLOOKUP(Misafregning!$A$8,Licensnumre!$C:$G,2),0)</f>
        <v>Hanne Krøger</v>
      </c>
      <c r="C9" s="339">
        <f>IF($E$6 = "LBC 2012",VLOOKUP(Misafregning!#REF!,Licensnumre!$C:$J,3,FALSE),0)</f>
        <v>0</v>
      </c>
      <c r="D9" s="339">
        <f>IF($E$6 = "LBC 2012",VLOOKUP(Misafregning!#REF!,Licensnumre!$C:$J,3,FALSE),0)</f>
        <v>0</v>
      </c>
      <c r="E9" s="340">
        <f>IF($E$6 = "LBC 2012",VLOOKUP(Misafregning!#REF!,Licensnumre!$C:$J,3,FALSE),0)</f>
        <v>0</v>
      </c>
      <c r="F9" s="132"/>
      <c r="G9" s="100">
        <v>1</v>
      </c>
      <c r="H9" s="100"/>
      <c r="I9" s="100">
        <v>1</v>
      </c>
      <c r="J9" s="100"/>
      <c r="K9" s="100">
        <v>1</v>
      </c>
      <c r="L9" s="100"/>
      <c r="M9" s="100">
        <v>1</v>
      </c>
      <c r="N9" s="100"/>
      <c r="O9" s="100">
        <v>1</v>
      </c>
      <c r="P9" s="100"/>
      <c r="Q9" s="194">
        <v>1</v>
      </c>
      <c r="R9" s="101">
        <f t="shared" ref="R9:R25" si="0">SUM(F9+H9+J9+L9+N9+P9)</f>
        <v>0</v>
      </c>
    </row>
    <row r="10" spans="1:18" s="37" customFormat="1" ht="15" customHeight="1" x14ac:dyDescent="0.3">
      <c r="A10" s="135" t="str">
        <f>IF(Misafregning!A9=0,0,IF($A$6 = "LBC 2012",VLOOKUP(Misafregning!A9,Licensnumre!$C:$J,3,FALSE),0))</f>
        <v>300148-MAHI</v>
      </c>
      <c r="B10" s="325" t="str">
        <f>IF(Misafregning!A9=0,0,IF($A$6 = "LBC 2012",VLOOKUP(Misafregning!A9,Licensnumre!$C:$J,2,FALSE),0))</f>
        <v>Margit Hindsdal</v>
      </c>
      <c r="C10" s="326">
        <f>IF(Misafregning!C9=0,0,IF($A$6 = "LBC 2012",VLOOKUP(Misafregning!C9,Licensnumre!$C:$J,3,FALSE),0))</f>
        <v>0</v>
      </c>
      <c r="D10" s="326">
        <f>IF(Misafregning!D9=0,0,IF($A$6 = "LBC 2012",VLOOKUP(Misafregning!D9,Licensnumre!$C:$J,3,FALSE),0))</f>
        <v>0</v>
      </c>
      <c r="E10" s="327">
        <f>IF(Misafregning!E9=0,0,IF($A$6 = "LBC 2012",VLOOKUP(Misafregning!E9,Licensnumre!$C:$J,3,FALSE),0))</f>
        <v>0</v>
      </c>
      <c r="F10" s="133"/>
      <c r="G10" s="102">
        <v>1</v>
      </c>
      <c r="H10" s="102"/>
      <c r="I10" s="102">
        <v>1</v>
      </c>
      <c r="J10" s="102"/>
      <c r="K10" s="102">
        <v>1</v>
      </c>
      <c r="L10" s="102"/>
      <c r="M10" s="102">
        <v>1</v>
      </c>
      <c r="N10" s="102"/>
      <c r="O10" s="102">
        <v>1</v>
      </c>
      <c r="P10" s="102"/>
      <c r="Q10" s="195">
        <v>1</v>
      </c>
      <c r="R10" s="103">
        <f t="shared" si="0"/>
        <v>0</v>
      </c>
    </row>
    <row r="11" spans="1:18" s="37" customFormat="1" ht="15" customHeight="1" x14ac:dyDescent="0.3">
      <c r="A11" s="135" t="str">
        <f>IF(Misafregning!A10=0,0,IF($A$6 = "LBC 2012",VLOOKUP(Misafregning!A10,Licensnumre!$C:$J,3,FALSE),0))</f>
        <v>240570-LECH</v>
      </c>
      <c r="B11" s="325" t="str">
        <f>IF(Misafregning!A10=0,0,IF($A$6 = "LBC 2012",VLOOKUP(Misafregning!A10,Licensnumre!$C:$J,2,FALSE),0))</f>
        <v>Lena Christensen</v>
      </c>
      <c r="C11" s="326">
        <f>IF(Misafregning!C10=0,0,IF($A$6 = "LBC 2012",VLOOKUP(Misafregning!C10,Licensnumre!$C:$J,3,FALSE),0))</f>
        <v>0</v>
      </c>
      <c r="D11" s="326">
        <f>IF(Misafregning!D10=0,0,IF($A$6 = "LBC 2012",VLOOKUP(Misafregning!D10,Licensnumre!$C:$J,3,FALSE),0))</f>
        <v>0</v>
      </c>
      <c r="E11" s="327">
        <f>IF(Misafregning!E10=0,0,IF($A$6 = "LBC 2012",VLOOKUP(Misafregning!E10,Licensnumre!$C:$J,3,FALSE),0))</f>
        <v>0</v>
      </c>
      <c r="F11" s="133"/>
      <c r="G11" s="102">
        <v>2</v>
      </c>
      <c r="H11" s="102"/>
      <c r="I11" s="102">
        <v>2</v>
      </c>
      <c r="J11" s="102"/>
      <c r="K11" s="102">
        <v>2</v>
      </c>
      <c r="L11" s="102"/>
      <c r="M11" s="102">
        <v>2</v>
      </c>
      <c r="N11" s="102"/>
      <c r="O11" s="102">
        <v>2</v>
      </c>
      <c r="P11" s="102"/>
      <c r="Q11" s="195">
        <v>2</v>
      </c>
      <c r="R11" s="103">
        <f t="shared" si="0"/>
        <v>0</v>
      </c>
    </row>
    <row r="12" spans="1:18" s="37" customFormat="1" ht="15" customHeight="1" x14ac:dyDescent="0.3">
      <c r="A12" s="135" t="str">
        <f>IF(Misafregning!A11=0,0,IF($A$6 = "LBC 2012",VLOOKUP(Misafregning!A11,Licensnumre!$C:$J,3,FALSE),0))</f>
        <v>080160-GIHA</v>
      </c>
      <c r="B12" s="325" t="str">
        <f>IF(Misafregning!A11=0,0,IF($A$6 = "LBC 2012",VLOOKUP(Misafregning!A11,Licensnumre!$C:$J,2,FALSE),0))</f>
        <v>Gitte Hansen</v>
      </c>
      <c r="C12" s="326"/>
      <c r="D12" s="326"/>
      <c r="E12" s="327"/>
      <c r="F12" s="133"/>
      <c r="G12" s="102">
        <v>2</v>
      </c>
      <c r="H12" s="102"/>
      <c r="I12" s="102">
        <v>2</v>
      </c>
      <c r="J12" s="102"/>
      <c r="K12" s="102">
        <v>2</v>
      </c>
      <c r="L12" s="102"/>
      <c r="M12" s="102">
        <v>2</v>
      </c>
      <c r="N12" s="102"/>
      <c r="O12" s="102">
        <v>2</v>
      </c>
      <c r="P12" s="102"/>
      <c r="Q12" s="195">
        <v>2</v>
      </c>
      <c r="R12" s="103">
        <f t="shared" si="0"/>
        <v>0</v>
      </c>
    </row>
    <row r="13" spans="1:18" s="37" customFormat="1" ht="15" customHeight="1" x14ac:dyDescent="0.3">
      <c r="A13" s="135">
        <f>IF(Misafregning!A12=0,0,IF($A$6 = "LBC 2012",VLOOKUP(Misafregning!A12,Licensnumre!$C:$J,3,FALSE),0))</f>
        <v>0</v>
      </c>
      <c r="B13" s="325">
        <f>IF(Misafregning!A12=0,0,IF($A$6 = "LBC 2012",VLOOKUP(Misafregning!A12,Licensnumre!$C:$J,2,FALSE),0))</f>
        <v>0</v>
      </c>
      <c r="C13" s="326">
        <f>IF(Misafregning!C12=0,0,IF($A$6 = "LBC 2012",VLOOKUP(Misafregning!C12,Licensnumre!$C:$J,3,FALSE),0))</f>
        <v>0</v>
      </c>
      <c r="D13" s="326">
        <f>IF(Misafregning!D12=0,0,IF($A$6 = "LBC 2012",VLOOKUP(Misafregning!D12,Licensnumre!$C:$J,3,FALSE),0))</f>
        <v>0</v>
      </c>
      <c r="E13" s="327">
        <f>IF(Misafregning!E12=0,0,IF($A$6 = "LBC 2012",VLOOKUP(Misafregning!E12,Licensnumre!$C:$J,3,FALSE),0))</f>
        <v>0</v>
      </c>
      <c r="F13" s="133"/>
      <c r="G13" s="102">
        <v>3</v>
      </c>
      <c r="H13" s="102"/>
      <c r="I13" s="102">
        <v>3</v>
      </c>
      <c r="J13" s="102"/>
      <c r="K13" s="102">
        <v>3</v>
      </c>
      <c r="L13" s="102"/>
      <c r="M13" s="102">
        <v>3</v>
      </c>
      <c r="N13" s="102"/>
      <c r="O13" s="102">
        <v>3</v>
      </c>
      <c r="P13" s="102"/>
      <c r="Q13" s="195">
        <v>3</v>
      </c>
      <c r="R13" s="103">
        <f t="shared" si="0"/>
        <v>0</v>
      </c>
    </row>
    <row r="14" spans="1:18" s="37" customFormat="1" ht="15" customHeight="1" x14ac:dyDescent="0.3">
      <c r="A14" s="135">
        <f>IF(Misafregning!A13=0,0,IF($A$6 = "LBC 2012",VLOOKUP(Misafregning!A13,Licensnumre!$C:$J,3,FALSE),0))</f>
        <v>0</v>
      </c>
      <c r="B14" s="325">
        <f>IF(Misafregning!A13=0,0,IF($A$6 = "LBC 2012",VLOOKUP(Misafregning!A13,Licensnumre!$C:$J,2,FALSE),0))</f>
        <v>0</v>
      </c>
      <c r="C14" s="326">
        <f>IF(Misafregning!C13=0,0,IF($A$6 = "LBC 2012",VLOOKUP(Misafregning!C13,Licensnumre!$C:$J,3,FALSE),0))</f>
        <v>0</v>
      </c>
      <c r="D14" s="326">
        <f>IF(Misafregning!D13=0,0,IF($A$6 = "LBC 2012",VLOOKUP(Misafregning!D13,Licensnumre!$C:$J,3,FALSE),0))</f>
        <v>0</v>
      </c>
      <c r="E14" s="327">
        <f>IF(Misafregning!E13=0,0,IF($A$6 = "LBC 2012",VLOOKUP(Misafregning!E13,Licensnumre!$C:$J,3,FALSE),0))</f>
        <v>0</v>
      </c>
      <c r="F14" s="133"/>
      <c r="G14" s="102">
        <v>3</v>
      </c>
      <c r="H14" s="102"/>
      <c r="I14" s="102">
        <v>3</v>
      </c>
      <c r="J14" s="102"/>
      <c r="K14" s="102">
        <v>3</v>
      </c>
      <c r="L14" s="102"/>
      <c r="M14" s="102">
        <v>3</v>
      </c>
      <c r="N14" s="102"/>
      <c r="O14" s="102">
        <v>3</v>
      </c>
      <c r="P14" s="102"/>
      <c r="Q14" s="195">
        <v>3</v>
      </c>
      <c r="R14" s="103">
        <f t="shared" si="0"/>
        <v>0</v>
      </c>
    </row>
    <row r="15" spans="1:18" s="37" customFormat="1" ht="15" customHeight="1" x14ac:dyDescent="0.3">
      <c r="A15" s="135">
        <f>IF(Misafregning!A14=0,0,IF($A$6 = "LBC 2012",VLOOKUP(Misafregning!A14,Licensnumre!$C:$J,3,FALSE),0))</f>
        <v>0</v>
      </c>
      <c r="B15" s="325">
        <f>IF(Misafregning!A14=0,0,IF($A$6 = "LBC 2012",VLOOKUP(Misafregning!A14,Licensnumre!$C:$J,2,FALSE),0))</f>
        <v>0</v>
      </c>
      <c r="C15" s="326">
        <f>IF(Misafregning!C14=0,0,IF($A$6 = "LBC 2012",VLOOKUP(Misafregning!C14,Licensnumre!$C:$J,3,FALSE),0))</f>
        <v>0</v>
      </c>
      <c r="D15" s="326">
        <f>IF(Misafregning!D14=0,0,IF($A$6 = "LBC 2012",VLOOKUP(Misafregning!D14,Licensnumre!$C:$J,3,FALSE),0))</f>
        <v>0</v>
      </c>
      <c r="E15" s="327">
        <f>IF(Misafregning!E14=0,0,IF($A$6 = "LBC 2012",VLOOKUP(Misafregning!E14,Licensnumre!$C:$J,3,FALSE),0))</f>
        <v>0</v>
      </c>
      <c r="F15" s="13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5"/>
      <c r="R15" s="103">
        <f t="shared" si="0"/>
        <v>0</v>
      </c>
    </row>
    <row r="16" spans="1:18" s="37" customFormat="1" ht="15" customHeight="1" thickBot="1" x14ac:dyDescent="0.35">
      <c r="A16" s="117" t="s">
        <v>87</v>
      </c>
      <c r="B16" s="328"/>
      <c r="C16" s="329"/>
      <c r="D16" s="329"/>
      <c r="E16" s="330"/>
      <c r="F16" s="136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3"/>
      <c r="R16" s="131">
        <f t="shared" si="0"/>
        <v>0</v>
      </c>
    </row>
    <row r="17" spans="1:18" s="37" customFormat="1" ht="15" customHeight="1" x14ac:dyDescent="0.3">
      <c r="A17" s="146" t="s">
        <v>127</v>
      </c>
      <c r="B17" s="341"/>
      <c r="C17" s="342"/>
      <c r="D17" s="342"/>
      <c r="E17" s="343"/>
      <c r="F17" s="108">
        <f>SUMIF(G9:G16,1,F9:F16)</f>
        <v>0</v>
      </c>
      <c r="G17" s="109"/>
      <c r="H17" s="109">
        <f>SUMIF(I9:I16,1,H9:H16)</f>
        <v>0</v>
      </c>
      <c r="I17" s="109"/>
      <c r="J17" s="109">
        <f>SUMIF(K9:K16,1,J9:J16)</f>
        <v>0</v>
      </c>
      <c r="K17" s="109"/>
      <c r="L17" s="109">
        <f>SUMIF(M9:M16,1,L9:L16)</f>
        <v>0</v>
      </c>
      <c r="M17" s="109"/>
      <c r="N17" s="109">
        <f>SUMIF(O9:O16,1,N9:N16)</f>
        <v>0</v>
      </c>
      <c r="O17" s="109"/>
      <c r="P17" s="109">
        <f>SUMIF(Q9:Q16,1,P9:P16)</f>
        <v>0</v>
      </c>
      <c r="Q17" s="110"/>
      <c r="R17" s="111">
        <f t="shared" si="0"/>
        <v>0</v>
      </c>
    </row>
    <row r="18" spans="1:18" s="37" customFormat="1" ht="15" customHeight="1" x14ac:dyDescent="0.3">
      <c r="A18" s="112" t="s">
        <v>126</v>
      </c>
      <c r="B18" s="344"/>
      <c r="C18" s="345"/>
      <c r="D18" s="345"/>
      <c r="E18" s="346"/>
      <c r="F18" s="67">
        <f>SUMIF(G9:G16,2,F9:F16)</f>
        <v>0</v>
      </c>
      <c r="G18" s="75"/>
      <c r="H18" s="75">
        <f>SUMIF(I9:I16,2,H9:H16)</f>
        <v>0</v>
      </c>
      <c r="I18" s="75"/>
      <c r="J18" s="75">
        <f>SUMIF(K9:K16,2,J9:J16)</f>
        <v>0</v>
      </c>
      <c r="K18" s="75"/>
      <c r="L18" s="75">
        <f>SUMIF(M9:M16,2,L9:L16)</f>
        <v>0</v>
      </c>
      <c r="M18" s="75"/>
      <c r="N18" s="75">
        <f>SUMIF(O9:O16,2,N9:N16)</f>
        <v>0</v>
      </c>
      <c r="O18" s="75"/>
      <c r="P18" s="75">
        <f>SUMIF(Q9:Q16,2,P9:P16)</f>
        <v>0</v>
      </c>
      <c r="Q18" s="77"/>
      <c r="R18" s="113">
        <f t="shared" si="0"/>
        <v>0</v>
      </c>
    </row>
    <row r="19" spans="1:18" s="37" customFormat="1" ht="15" customHeight="1" x14ac:dyDescent="0.3">
      <c r="A19" s="114" t="s">
        <v>125</v>
      </c>
      <c r="B19" s="318"/>
      <c r="C19" s="319"/>
      <c r="D19" s="319"/>
      <c r="E19" s="320"/>
      <c r="F19" s="67">
        <f>SUMIF(G9:G16,3,F9:F16)</f>
        <v>0</v>
      </c>
      <c r="G19" s="75"/>
      <c r="H19" s="75">
        <f>SUMIF(I9:I16,3,H9:H16)</f>
        <v>0</v>
      </c>
      <c r="I19" s="75"/>
      <c r="J19" s="75">
        <f>SUMIF(K9:K16,3,J9:J16)</f>
        <v>0</v>
      </c>
      <c r="K19" s="75"/>
      <c r="L19" s="75">
        <f>SUMIF(M9:M16,3,L9:L16)</f>
        <v>0</v>
      </c>
      <c r="M19" s="75"/>
      <c r="N19" s="75">
        <f>SUMIF(O9:O16,3,N9:N16)</f>
        <v>0</v>
      </c>
      <c r="O19" s="75"/>
      <c r="P19" s="75">
        <f>SUMIF(Q9:Q16,3,P9:P16)</f>
        <v>0</v>
      </c>
      <c r="Q19" s="77"/>
      <c r="R19" s="113">
        <f t="shared" si="0"/>
        <v>0</v>
      </c>
    </row>
    <row r="20" spans="1:18" s="37" customFormat="1" ht="15" customHeight="1" thickBot="1" x14ac:dyDescent="0.35">
      <c r="A20" s="114" t="s">
        <v>121</v>
      </c>
      <c r="B20" s="347"/>
      <c r="C20" s="348"/>
      <c r="D20" s="348"/>
      <c r="E20" s="349"/>
      <c r="F20" s="68">
        <f>F17+F18+F19</f>
        <v>0</v>
      </c>
      <c r="G20" s="76"/>
      <c r="H20" s="76">
        <f>H17+H18+H19</f>
        <v>0</v>
      </c>
      <c r="I20" s="76"/>
      <c r="J20" s="76">
        <f>J17+J18+J19</f>
        <v>0</v>
      </c>
      <c r="K20" s="76"/>
      <c r="L20" s="76">
        <f>L17+L18+L19</f>
        <v>0</v>
      </c>
      <c r="M20" s="76"/>
      <c r="N20" s="76">
        <f>N17+N18+N19</f>
        <v>0</v>
      </c>
      <c r="O20" s="76"/>
      <c r="P20" s="76">
        <f>P17+P18+P19</f>
        <v>0</v>
      </c>
      <c r="Q20" s="78"/>
      <c r="R20" s="115">
        <f t="shared" si="0"/>
        <v>0</v>
      </c>
    </row>
    <row r="21" spans="1:18" s="37" customFormat="1" ht="15" customHeight="1" x14ac:dyDescent="0.3">
      <c r="A21" s="107" t="s">
        <v>128</v>
      </c>
      <c r="B21" s="331"/>
      <c r="C21" s="332"/>
      <c r="D21" s="332"/>
      <c r="E21" s="332"/>
      <c r="F21" s="116">
        <f>IF(F17 = 0,0,IF(F17 &gt;F36,2,IF(F17 =F36,1,0)))</f>
        <v>0</v>
      </c>
      <c r="G21" s="109"/>
      <c r="H21" s="109">
        <f>IF(H17 = 0,0,IF(H17 &gt;H36,2,IF(H17 =H36,1,0)))</f>
        <v>0</v>
      </c>
      <c r="I21" s="109"/>
      <c r="J21" s="109">
        <f>IF(J17 = 0,0,IF(J17 &gt;J36,2,IF(J17 =J36,1,0)))</f>
        <v>0</v>
      </c>
      <c r="K21" s="109"/>
      <c r="L21" s="109">
        <f>IF(L17 = 0,0,IF(L17 &gt;L36,2,IF(L17 =L36,1,0)))</f>
        <v>0</v>
      </c>
      <c r="M21" s="109"/>
      <c r="N21" s="109"/>
      <c r="O21" s="109"/>
      <c r="P21" s="109"/>
      <c r="Q21" s="110"/>
      <c r="R21" s="111">
        <f t="shared" si="0"/>
        <v>0</v>
      </c>
    </row>
    <row r="22" spans="1:18" s="37" customFormat="1" ht="15" customHeight="1" x14ac:dyDescent="0.3">
      <c r="A22" s="112" t="s">
        <v>129</v>
      </c>
      <c r="B22" s="318"/>
      <c r="C22" s="319"/>
      <c r="D22" s="319"/>
      <c r="E22" s="319"/>
      <c r="F22" s="73">
        <f>IF(F18 = 0,0,IF(F18 &gt;F37,2,IF(F18 =F37,1,0)))</f>
        <v>0</v>
      </c>
      <c r="G22" s="75"/>
      <c r="H22" s="75">
        <f>IF(H18 = 0,0,IF(H18 &gt;H37,2,IF(H18 =H37,1,0)))</f>
        <v>0</v>
      </c>
      <c r="I22" s="75"/>
      <c r="J22" s="75">
        <f>IF(J18 = 0,0,IF(J18 &gt;J37,2,IF(J18 =J37,1,0)))</f>
        <v>0</v>
      </c>
      <c r="K22" s="75"/>
      <c r="L22" s="75">
        <f>IF(L18 = 0,0,IF(L18 &gt;L37,2,IF(L18 =L37,1,0)))</f>
        <v>0</v>
      </c>
      <c r="M22" s="75"/>
      <c r="N22" s="75"/>
      <c r="O22" s="75"/>
      <c r="P22" s="75"/>
      <c r="Q22" s="77"/>
      <c r="R22" s="113">
        <f t="shared" si="0"/>
        <v>0</v>
      </c>
    </row>
    <row r="23" spans="1:18" s="37" customFormat="1" ht="15" customHeight="1" x14ac:dyDescent="0.3">
      <c r="A23" s="114" t="s">
        <v>130</v>
      </c>
      <c r="B23" s="318"/>
      <c r="C23" s="319"/>
      <c r="D23" s="319"/>
      <c r="E23" s="320"/>
      <c r="F23" s="73">
        <f>IF(F19 = 0,0,IF(F19 &gt;F38,2,IF(F19 =F38,1,0)))</f>
        <v>0</v>
      </c>
      <c r="G23" s="75"/>
      <c r="H23" s="75">
        <f>IF(H19 = 0,0,IF(H19 &gt;H38,2,IF(H19 =H38,1,0)))</f>
        <v>0</v>
      </c>
      <c r="I23" s="75"/>
      <c r="J23" s="75">
        <f>IF(J19 = 0,0,IF(J19 &gt;J38,2,IF(J19 =J38,1,0)))</f>
        <v>0</v>
      </c>
      <c r="K23" s="75"/>
      <c r="L23" s="75">
        <f>IF(L19 = 0,0,IF(L19 &gt;L38,2,IF(L19 =L38,1,0)))</f>
        <v>0</v>
      </c>
      <c r="M23" s="75"/>
      <c r="N23" s="75">
        <f>IF(N19 = 0,0,IF(N19 &gt;N38,2,IF(N19 =N38,1,0)))</f>
        <v>0</v>
      </c>
      <c r="O23" s="75"/>
      <c r="P23" s="75">
        <f>IF(P19 = 0,0,IF(P19 &gt;P38,2,IF(P19 =P38,1,0)))</f>
        <v>0</v>
      </c>
      <c r="Q23" s="77"/>
      <c r="R23" s="113">
        <f t="shared" si="0"/>
        <v>0</v>
      </c>
    </row>
    <row r="24" spans="1:18" s="37" customFormat="1" ht="15" customHeight="1" x14ac:dyDescent="0.3">
      <c r="A24" s="114" t="s">
        <v>131</v>
      </c>
      <c r="B24" s="318"/>
      <c r="C24" s="319"/>
      <c r="D24" s="319"/>
      <c r="E24" s="320"/>
      <c r="F24" s="73">
        <f>IF(F20 = 0,0,IF(F20 &gt;F39,2,IF(F20 =F39,1,0)))</f>
        <v>0</v>
      </c>
      <c r="G24" s="75"/>
      <c r="H24" s="75">
        <f>IF(H20 = 0,0,IF(H20 &gt;H39,2,IF(H20 =H39,1,0)))</f>
        <v>0</v>
      </c>
      <c r="I24" s="75"/>
      <c r="J24" s="75">
        <f>IF(J20 = 0,0,IF(J20 &gt;J39,2,IF(J20 =J39,1,0)))</f>
        <v>0</v>
      </c>
      <c r="K24" s="75"/>
      <c r="L24" s="75">
        <f>IF(L20 = 0,0,IF(L20 &gt;L39,2,IF(L20 =L39,1,0)))</f>
        <v>0</v>
      </c>
      <c r="M24" s="75"/>
      <c r="N24" s="75">
        <f>IF(N20 = 0,0,IF(N20 &gt;N39,2,IF(N20 =N39,1,0)))</f>
        <v>0</v>
      </c>
      <c r="O24" s="75"/>
      <c r="P24" s="75">
        <f>IF(P20 = 0,0,IF(P20 &gt;P39,2,IF(P20 =P39,1,0)))</f>
        <v>0</v>
      </c>
      <c r="Q24" s="77"/>
      <c r="R24" s="113">
        <f t="shared" si="0"/>
        <v>0</v>
      </c>
    </row>
    <row r="25" spans="1:18" s="37" customFormat="1" ht="15" customHeight="1" thickBot="1" x14ac:dyDescent="0.35">
      <c r="A25" s="117" t="s">
        <v>124</v>
      </c>
      <c r="B25" s="316"/>
      <c r="C25" s="317"/>
      <c r="D25" s="317"/>
      <c r="E25" s="317"/>
      <c r="F25" s="118">
        <f>F21+F22+F23+F24</f>
        <v>0</v>
      </c>
      <c r="G25" s="119"/>
      <c r="H25" s="119">
        <f>H21+H22+H23+H24</f>
        <v>0</v>
      </c>
      <c r="I25" s="119"/>
      <c r="J25" s="119">
        <f>J21+J22+J23+J24</f>
        <v>0</v>
      </c>
      <c r="K25" s="119"/>
      <c r="L25" s="119">
        <f>L21+L22+L23+L24</f>
        <v>0</v>
      </c>
      <c r="M25" s="119"/>
      <c r="N25" s="119">
        <f>N21+N22+N23+N24</f>
        <v>0</v>
      </c>
      <c r="O25" s="119"/>
      <c r="P25" s="119">
        <f>P21+P22+P23+P24</f>
        <v>0</v>
      </c>
      <c r="Q25" s="120"/>
      <c r="R25" s="121">
        <f t="shared" si="0"/>
        <v>0</v>
      </c>
    </row>
    <row r="26" spans="1:18" ht="15" customHeight="1" thickBot="1" x14ac:dyDescent="0.45">
      <c r="A26" s="333"/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5"/>
    </row>
    <row r="27" spans="1:18" s="37" customFormat="1" ht="15" customHeight="1" thickBot="1" x14ac:dyDescent="0.35">
      <c r="A27" s="95"/>
      <c r="B27" s="336" t="str">
        <f>E6</f>
        <v>Slagelse BC</v>
      </c>
      <c r="C27" s="337"/>
      <c r="D27" s="337"/>
      <c r="E27" s="337"/>
      <c r="F27" s="96">
        <v>1</v>
      </c>
      <c r="G27" s="97"/>
      <c r="H27" s="97">
        <v>2</v>
      </c>
      <c r="I27" s="97"/>
      <c r="J27" s="97">
        <v>3</v>
      </c>
      <c r="K27" s="97"/>
      <c r="L27" s="97">
        <v>4</v>
      </c>
      <c r="M27" s="97"/>
      <c r="N27" s="97">
        <v>5</v>
      </c>
      <c r="O27" s="97"/>
      <c r="P27" s="97">
        <v>6</v>
      </c>
      <c r="Q27" s="98"/>
      <c r="R27" s="99" t="s">
        <v>26</v>
      </c>
    </row>
    <row r="28" spans="1:18" s="37" customFormat="1" ht="15" customHeight="1" x14ac:dyDescent="0.3">
      <c r="A28" s="227">
        <f>IF($E$6="LBC 2012",VLOOKUP(Misafregning!$A$8,Licensnumre!C:G,3),0)</f>
        <v>0</v>
      </c>
      <c r="B28" s="338">
        <f>IF($E$6="LBC 2012",VLOOKUP(Misafregning!$A$8,Licensnumre!C:G,2),0)</f>
        <v>0</v>
      </c>
      <c r="C28" s="339">
        <f>IF($E$6 = "LBC 2012",VLOOKUP(Misafregning!C18,Licensnumre!$C:$J,3,FALSE),0)</f>
        <v>0</v>
      </c>
      <c r="D28" s="339">
        <f>IF($E$6 = "LBC 2012",VLOOKUP(Misafregning!D18,Licensnumre!$C:$J,3,FALSE),0)</f>
        <v>0</v>
      </c>
      <c r="E28" s="340">
        <f>IF($E$6 = "LBC 2012",VLOOKUP(Misafregning!E18,Licensnumre!$C:$J,3,FALSE),0)</f>
        <v>0</v>
      </c>
      <c r="F28" s="132"/>
      <c r="G28" s="100">
        <v>1</v>
      </c>
      <c r="H28" s="100"/>
      <c r="I28" s="100">
        <v>2</v>
      </c>
      <c r="J28" s="100"/>
      <c r="K28" s="100">
        <v>3</v>
      </c>
      <c r="L28" s="100"/>
      <c r="M28" s="100">
        <v>1</v>
      </c>
      <c r="N28" s="100"/>
      <c r="O28" s="100">
        <v>2</v>
      </c>
      <c r="P28" s="100"/>
      <c r="Q28" s="194">
        <v>3</v>
      </c>
      <c r="R28" s="101">
        <f t="shared" ref="R28:R44" si="1">SUM(F28+H28+J28+L28+N28+P28)</f>
        <v>0</v>
      </c>
    </row>
    <row r="29" spans="1:18" s="37" customFormat="1" ht="15" customHeight="1" x14ac:dyDescent="0.3">
      <c r="A29" s="177">
        <f>IF(Misafregning!A9=0,0,IF($E$6 = "LBC 2012",VLOOKUP(Misafregning!A9,Licensnumre!$C:$J,3,FALSE),0))</f>
        <v>0</v>
      </c>
      <c r="B29" s="325">
        <f>IF(Misafregning!A9=0,0,IF($E$6 = "LBC 2012",VLOOKUP(Misafregning!A9,Licensnumre!$C:$J,2,FALSE),0))</f>
        <v>0</v>
      </c>
      <c r="C29" s="326"/>
      <c r="D29" s="326"/>
      <c r="E29" s="327"/>
      <c r="F29" s="133"/>
      <c r="G29" s="102">
        <v>1</v>
      </c>
      <c r="H29" s="102"/>
      <c r="I29" s="102">
        <v>2</v>
      </c>
      <c r="J29" s="102"/>
      <c r="K29" s="102">
        <v>3</v>
      </c>
      <c r="L29" s="102"/>
      <c r="M29" s="102">
        <v>1</v>
      </c>
      <c r="N29" s="102"/>
      <c r="O29" s="102">
        <v>2</v>
      </c>
      <c r="P29" s="102"/>
      <c r="Q29" s="195">
        <v>3</v>
      </c>
      <c r="R29" s="103">
        <f t="shared" si="1"/>
        <v>0</v>
      </c>
    </row>
    <row r="30" spans="1:18" s="37" customFormat="1" ht="15" customHeight="1" x14ac:dyDescent="0.3">
      <c r="A30" s="177">
        <f>IF(Misafregning!A10=0,0,IF($E$6 = "LBC 2012",VLOOKUP(Misafregning!A10,Licensnumre!$C:$J,3,FALSE),0))</f>
        <v>0</v>
      </c>
      <c r="B30" s="325">
        <f>IF(Misafregning!A10=0,0,IF($E$6 = "LBC 2012",VLOOKUP(Misafregning!A10,Licensnumre!$C:$J,2,FALSE),0))</f>
        <v>0</v>
      </c>
      <c r="C30" s="326"/>
      <c r="D30" s="326"/>
      <c r="E30" s="327"/>
      <c r="F30" s="133"/>
      <c r="G30" s="102">
        <v>2</v>
      </c>
      <c r="H30" s="102"/>
      <c r="I30" s="102">
        <v>3</v>
      </c>
      <c r="J30" s="102"/>
      <c r="K30" s="102">
        <v>1</v>
      </c>
      <c r="L30" s="102"/>
      <c r="M30" s="102">
        <v>2</v>
      </c>
      <c r="N30" s="102"/>
      <c r="O30" s="102">
        <v>3</v>
      </c>
      <c r="P30" s="102"/>
      <c r="Q30" s="195">
        <v>1</v>
      </c>
      <c r="R30" s="103">
        <f t="shared" si="1"/>
        <v>0</v>
      </c>
    </row>
    <row r="31" spans="1:18" s="37" customFormat="1" ht="15" customHeight="1" x14ac:dyDescent="0.3">
      <c r="A31" s="177">
        <f>IF(Misafregning!A11=0,0,IF($E$6 = "LBC 2012",VLOOKUP(Misafregning!A11,Licensnumre!$C:$J,3,FALSE),0))</f>
        <v>0</v>
      </c>
      <c r="B31" s="325">
        <f>IF(Misafregning!A11=0,0,IF($E$6 = "LBC 2012",VLOOKUP(Misafregning!A11,Licensnumre!$C:$J,2,FALSE),0))</f>
        <v>0</v>
      </c>
      <c r="C31" s="326"/>
      <c r="D31" s="326"/>
      <c r="E31" s="327"/>
      <c r="F31" s="133"/>
      <c r="G31" s="102">
        <v>2</v>
      </c>
      <c r="H31" s="102"/>
      <c r="I31" s="102">
        <v>3</v>
      </c>
      <c r="J31" s="102"/>
      <c r="K31" s="102">
        <v>1</v>
      </c>
      <c r="L31" s="102"/>
      <c r="M31" s="102">
        <v>2</v>
      </c>
      <c r="N31" s="102"/>
      <c r="O31" s="102">
        <v>3</v>
      </c>
      <c r="P31" s="102"/>
      <c r="Q31" s="195">
        <v>1</v>
      </c>
      <c r="R31" s="103">
        <f t="shared" si="1"/>
        <v>0</v>
      </c>
    </row>
    <row r="32" spans="1:18" s="37" customFormat="1" ht="15" customHeight="1" x14ac:dyDescent="0.3">
      <c r="A32" s="177">
        <f>IF(Misafregning!A12=0,0,IF($E$6 = "LBC 2012",VLOOKUP(Misafregning!A12,Licensnumre!$C:$J,3,FALSE),0))</f>
        <v>0</v>
      </c>
      <c r="B32" s="325">
        <f>IF(Misafregning!A12=0,0,IF($E$6 = "LBC 2012",VLOOKUP(Misafregning!A12,Licensnumre!$C:$J,2,FALSE),0))</f>
        <v>0</v>
      </c>
      <c r="C32" s="326"/>
      <c r="D32" s="326"/>
      <c r="E32" s="327"/>
      <c r="F32" s="133"/>
      <c r="G32" s="102">
        <v>3</v>
      </c>
      <c r="H32" s="102"/>
      <c r="I32" s="102">
        <v>1</v>
      </c>
      <c r="J32" s="102"/>
      <c r="K32" s="102">
        <v>2</v>
      </c>
      <c r="L32" s="102"/>
      <c r="M32" s="102">
        <v>3</v>
      </c>
      <c r="N32" s="102"/>
      <c r="O32" s="102">
        <v>1</v>
      </c>
      <c r="P32" s="102"/>
      <c r="Q32" s="195">
        <v>2</v>
      </c>
      <c r="R32" s="103">
        <f t="shared" si="1"/>
        <v>0</v>
      </c>
    </row>
    <row r="33" spans="1:18" s="37" customFormat="1" ht="15" customHeight="1" x14ac:dyDescent="0.3">
      <c r="A33" s="177">
        <f>IF(Misafregning!A13=0,0,IF($E$6 = "LBC 2012",VLOOKUP(Misafregning!A13,Licensnumre!$C:$J,3,FALSE),0))</f>
        <v>0</v>
      </c>
      <c r="B33" s="325">
        <f>IF(Misafregning!A13=0,0,IF($E$6 = "LBC 2012",VLOOKUP(Misafregning!A13,Licensnumre!$C:$J,2,FALSE),0))</f>
        <v>0</v>
      </c>
      <c r="C33" s="326"/>
      <c r="D33" s="326"/>
      <c r="E33" s="327"/>
      <c r="F33" s="133"/>
      <c r="G33" s="102">
        <v>3</v>
      </c>
      <c r="H33" s="102"/>
      <c r="I33" s="102">
        <v>1</v>
      </c>
      <c r="J33" s="102"/>
      <c r="K33" s="102">
        <v>2</v>
      </c>
      <c r="L33" s="102"/>
      <c r="M33" s="102">
        <v>3</v>
      </c>
      <c r="N33" s="102"/>
      <c r="O33" s="102">
        <v>1</v>
      </c>
      <c r="P33" s="102"/>
      <c r="Q33" s="195">
        <v>2</v>
      </c>
      <c r="R33" s="103">
        <f t="shared" si="1"/>
        <v>0</v>
      </c>
    </row>
    <row r="34" spans="1:18" s="37" customFormat="1" ht="15" customHeight="1" x14ac:dyDescent="0.3">
      <c r="A34" s="177">
        <f>IF(Misafregning!A14=0,0,IF($E$6 = "LBC 2012",VLOOKUP(Misafregning!A14,Licensnumre!$C:$J,3,FALSE),0))</f>
        <v>0</v>
      </c>
      <c r="B34" s="325">
        <f>IF(Misafregning!A14=0,0,IF($E$6 = "LBC 2012",VLOOKUP(Misafregning!A14,Licensnumre!$C:$J,2,FALSE),0))</f>
        <v>0</v>
      </c>
      <c r="C34" s="326"/>
      <c r="D34" s="326"/>
      <c r="E34" s="327"/>
      <c r="F34" s="13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  <c r="R34" s="103">
        <f t="shared" si="1"/>
        <v>0</v>
      </c>
    </row>
    <row r="35" spans="1:18" s="37" customFormat="1" ht="15" customHeight="1" thickBot="1" x14ac:dyDescent="0.35">
      <c r="A35" s="131" t="s">
        <v>87</v>
      </c>
      <c r="B35" s="328"/>
      <c r="C35" s="329"/>
      <c r="D35" s="329"/>
      <c r="E35" s="330"/>
      <c r="F35" s="136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3"/>
      <c r="R35" s="106">
        <f t="shared" si="1"/>
        <v>0</v>
      </c>
    </row>
    <row r="36" spans="1:18" s="37" customFormat="1" ht="15" customHeight="1" x14ac:dyDescent="0.3">
      <c r="A36" s="107" t="s">
        <v>127</v>
      </c>
      <c r="B36" s="331"/>
      <c r="C36" s="332"/>
      <c r="D36" s="332"/>
      <c r="E36" s="332"/>
      <c r="F36" s="124">
        <f>SUMIF(G28:G35,1,F28:F35)</f>
        <v>0</v>
      </c>
      <c r="G36" s="125"/>
      <c r="H36" s="125">
        <f>SUMIF(I28:I35,1,H28:H35)</f>
        <v>0</v>
      </c>
      <c r="I36" s="125"/>
      <c r="J36" s="125">
        <f>SUMIF(K28:K35,1,J28:J35)</f>
        <v>0</v>
      </c>
      <c r="K36" s="125"/>
      <c r="L36" s="125">
        <f>SUMIF(M28:M35,1,L28:L35)</f>
        <v>0</v>
      </c>
      <c r="M36" s="125"/>
      <c r="N36" s="125">
        <f>SUMIF(O28:O35,1,N28:N35)</f>
        <v>0</v>
      </c>
      <c r="O36" s="125"/>
      <c r="P36" s="125">
        <f>SUMIF(Q28:Q35,1,P28:P35)</f>
        <v>0</v>
      </c>
      <c r="Q36" s="126"/>
      <c r="R36" s="101">
        <f t="shared" si="1"/>
        <v>0</v>
      </c>
    </row>
    <row r="37" spans="1:18" s="37" customFormat="1" ht="15" customHeight="1" x14ac:dyDescent="0.3">
      <c r="A37" s="112" t="s">
        <v>126</v>
      </c>
      <c r="B37" s="318"/>
      <c r="C37" s="319"/>
      <c r="D37" s="319"/>
      <c r="E37" s="319"/>
      <c r="F37" s="73">
        <f>SUMIF(G28:G35,2,F28:F35)</f>
        <v>0</v>
      </c>
      <c r="G37" s="75"/>
      <c r="H37" s="75">
        <f>SUMIF(I28:I35,2,H28:H35)</f>
        <v>0</v>
      </c>
      <c r="I37" s="75"/>
      <c r="J37" s="75">
        <f>SUMIF(K28:K35,2,J28:J35)</f>
        <v>0</v>
      </c>
      <c r="K37" s="75"/>
      <c r="L37" s="75">
        <f>SUMIF(M28:M35,2,L28:L35)</f>
        <v>0</v>
      </c>
      <c r="M37" s="75"/>
      <c r="N37" s="75">
        <f>SUMIF(O28:O35,2,N28:N35)</f>
        <v>0</v>
      </c>
      <c r="O37" s="75"/>
      <c r="P37" s="75">
        <f>SUMIF(Q28:Q35,2,P28:P35)</f>
        <v>0</v>
      </c>
      <c r="Q37" s="127"/>
      <c r="R37" s="103">
        <f t="shared" si="1"/>
        <v>0</v>
      </c>
    </row>
    <row r="38" spans="1:18" s="37" customFormat="1" ht="15" customHeight="1" x14ac:dyDescent="0.3">
      <c r="A38" s="114" t="s">
        <v>125</v>
      </c>
      <c r="B38" s="318"/>
      <c r="C38" s="319"/>
      <c r="D38" s="319"/>
      <c r="E38" s="320"/>
      <c r="F38" s="73">
        <f>SUMIF(G28:G35,3,F28:F35)</f>
        <v>0</v>
      </c>
      <c r="G38" s="75"/>
      <c r="H38" s="75">
        <f>SUMIF(I28:I35,3,H28:H35)</f>
        <v>0</v>
      </c>
      <c r="I38" s="75"/>
      <c r="J38" s="75">
        <f>SUMIF(K28:K35,3,J28:J35)</f>
        <v>0</v>
      </c>
      <c r="K38" s="75"/>
      <c r="L38" s="75">
        <f>SUMIF(M28:M35,3,L28:L35)</f>
        <v>0</v>
      </c>
      <c r="M38" s="75"/>
      <c r="N38" s="75">
        <f>SUMIF(O28:O35,3,N28:N35)</f>
        <v>0</v>
      </c>
      <c r="O38" s="75"/>
      <c r="P38" s="75">
        <f>SUMIF(Q28:Q35,3,P28:P35)</f>
        <v>0</v>
      </c>
      <c r="Q38" s="127"/>
      <c r="R38" s="103">
        <f t="shared" si="1"/>
        <v>0</v>
      </c>
    </row>
    <row r="39" spans="1:18" s="37" customFormat="1" ht="15" customHeight="1" thickBot="1" x14ac:dyDescent="0.35">
      <c r="A39" s="114" t="s">
        <v>121</v>
      </c>
      <c r="B39" s="321"/>
      <c r="C39" s="322"/>
      <c r="D39" s="322"/>
      <c r="E39" s="322"/>
      <c r="F39" s="74">
        <f>F36+F37+F38</f>
        <v>0</v>
      </c>
      <c r="G39" s="76"/>
      <c r="H39" s="76">
        <f>H36+H37+H38</f>
        <v>0</v>
      </c>
      <c r="I39" s="76"/>
      <c r="J39" s="76">
        <f>J36+J37+J38</f>
        <v>0</v>
      </c>
      <c r="K39" s="76"/>
      <c r="L39" s="76">
        <f>L36+L37+L38</f>
        <v>0</v>
      </c>
      <c r="M39" s="76"/>
      <c r="N39" s="76">
        <f>N36+N37+N38</f>
        <v>0</v>
      </c>
      <c r="O39" s="76"/>
      <c r="P39" s="76">
        <f>P36+P37+P38</f>
        <v>0</v>
      </c>
      <c r="Q39" s="128"/>
      <c r="R39" s="106">
        <f t="shared" si="1"/>
        <v>0</v>
      </c>
    </row>
    <row r="40" spans="1:18" s="37" customFormat="1" ht="15" customHeight="1" x14ac:dyDescent="0.3">
      <c r="A40" s="107" t="s">
        <v>128</v>
      </c>
      <c r="B40" s="323"/>
      <c r="C40" s="324"/>
      <c r="D40" s="324"/>
      <c r="E40" s="324"/>
      <c r="F40" s="116">
        <f>IF(F36 = 0,0,IF(F36 &gt;F17,2,IF(F36 =F17,1,0)))</f>
        <v>0</v>
      </c>
      <c r="G40" s="109"/>
      <c r="H40" s="109">
        <f>IF(H36 = 0,0,IF(H36 &gt;H17,2,IF(H36 =H17,1,0)))</f>
        <v>0</v>
      </c>
      <c r="I40" s="109"/>
      <c r="J40" s="109">
        <f>IF(J36 = 0,0,IF(J36 &gt;J17,2,IF(J36 =J17,1,0)))</f>
        <v>0</v>
      </c>
      <c r="K40" s="109"/>
      <c r="L40" s="109">
        <f>IF(L36 = 0,0,IF(L36 &gt;L17,2,IF(L36 =L17,1,0)))</f>
        <v>0</v>
      </c>
      <c r="M40" s="109"/>
      <c r="N40" s="109">
        <f>IF(N36 = 0,0,IF(N36 &gt;N17,2,IF(N36 =N17,1,0)))</f>
        <v>0</v>
      </c>
      <c r="O40" s="109"/>
      <c r="P40" s="109">
        <f>IF(P36 = 0,0,IF(P36 &gt;P17,2,IF(P36 =P17,1,0)))</f>
        <v>0</v>
      </c>
      <c r="Q40" s="129"/>
      <c r="R40" s="101">
        <f t="shared" si="1"/>
        <v>0</v>
      </c>
    </row>
    <row r="41" spans="1:18" s="37" customFormat="1" ht="15" customHeight="1" x14ac:dyDescent="0.3">
      <c r="A41" s="112" t="s">
        <v>129</v>
      </c>
      <c r="B41" s="318"/>
      <c r="C41" s="319"/>
      <c r="D41" s="319"/>
      <c r="E41" s="319"/>
      <c r="F41" s="73">
        <f>IF(F37 = 0,0,IF(F37 &gt;F18,2,IF(F37 =F18,1,0)))</f>
        <v>0</v>
      </c>
      <c r="G41" s="75"/>
      <c r="H41" s="75">
        <f>IF(H37 = 0,0,IF(H37 &gt;H18,2,IF(H37 =H18,1,0)))</f>
        <v>0</v>
      </c>
      <c r="I41" s="75"/>
      <c r="J41" s="75">
        <f>IF(J37 = 0,0,IF(J37 &gt;J18,2,IF(J37 =J18,1,0)))</f>
        <v>0</v>
      </c>
      <c r="K41" s="75"/>
      <c r="L41" s="75">
        <f>IF(L37 = 0,0,IF(L37 &gt;L18,2,IF(L37 =L18,1,0)))</f>
        <v>0</v>
      </c>
      <c r="M41" s="75"/>
      <c r="N41" s="75">
        <f>IF(N37 = 0,0,IF(N37 &gt;N18,2,IF(N37 =N18,1,0)))</f>
        <v>0</v>
      </c>
      <c r="O41" s="75"/>
      <c r="P41" s="75">
        <f>IF(P37 = 0,0,IF(P37 &gt;P18,2,IF(P37 =P18,1,0)))</f>
        <v>0</v>
      </c>
      <c r="Q41" s="127"/>
      <c r="R41" s="103">
        <f t="shared" si="1"/>
        <v>0</v>
      </c>
    </row>
    <row r="42" spans="1:18" ht="15" customHeight="1" x14ac:dyDescent="0.4">
      <c r="A42" s="114" t="s">
        <v>130</v>
      </c>
      <c r="B42" s="318"/>
      <c r="C42" s="319"/>
      <c r="D42" s="319"/>
      <c r="E42" s="320"/>
      <c r="F42" s="73">
        <f>IF(F38 = 0,0,IF(F38 &gt;F19,2,IF(F38 =F19,1,0)))</f>
        <v>0</v>
      </c>
      <c r="G42" s="75"/>
      <c r="H42" s="75">
        <f>IF(H38 = 0,0,IF(H38 &gt;H19,2,IF(H38 =H19,1,0)))</f>
        <v>0</v>
      </c>
      <c r="I42" s="75"/>
      <c r="J42" s="75">
        <f>IF(J38 = 0,0,IF(J38 &gt;J19,2,IF(J38 =J19,1,0)))</f>
        <v>0</v>
      </c>
      <c r="K42" s="75"/>
      <c r="L42" s="75">
        <f>IF(L38 = 0,0,IF(L38 &gt;L19,2,IF(L38 =L19,1,0)))</f>
        <v>0</v>
      </c>
      <c r="M42" s="75"/>
      <c r="N42" s="75">
        <f>IF(N38 = 0,0,IF(N38 &gt;N19,2,IF(N38 =N19,1,0)))</f>
        <v>0</v>
      </c>
      <c r="O42" s="75"/>
      <c r="P42" s="75">
        <f>IF(P38 = 0,0,IF(P38 &gt;P19,2,IF(P38 =P19,1,0)))</f>
        <v>0</v>
      </c>
      <c r="Q42" s="127"/>
      <c r="R42" s="103">
        <f t="shared" si="1"/>
        <v>0</v>
      </c>
    </row>
    <row r="43" spans="1:18" ht="15" customHeight="1" x14ac:dyDescent="0.4">
      <c r="A43" s="114" t="s">
        <v>131</v>
      </c>
      <c r="B43" s="318"/>
      <c r="C43" s="319"/>
      <c r="D43" s="319"/>
      <c r="E43" s="320"/>
      <c r="F43" s="73">
        <f>IF(F39 = 0,0,IF(F39 &gt;F20,2,IF(F39 =F20,1,0)))</f>
        <v>0</v>
      </c>
      <c r="G43" s="75"/>
      <c r="H43" s="75">
        <f>IF(H39 = 0,0,IF(H39 &gt;H20,2,IF(H39 =H20,1,0)))</f>
        <v>0</v>
      </c>
      <c r="I43" s="75"/>
      <c r="J43" s="75">
        <f>IF(J39 = 0,0,IF(J39 &gt;J20,2,IF(J39 =J20,1,0)))</f>
        <v>0</v>
      </c>
      <c r="K43" s="75"/>
      <c r="L43" s="75">
        <f>IF(L39 = 0,0,IF(L39 &gt;L20,2,IF(L39 =L20,1,0)))</f>
        <v>0</v>
      </c>
      <c r="M43" s="75"/>
      <c r="N43" s="75">
        <f>IF(N39 = 0,0,IF(N39 &gt;N20,2,IF(N39 =N20,1,0)))</f>
        <v>0</v>
      </c>
      <c r="O43" s="75"/>
      <c r="P43" s="75">
        <f>IF(P39 = 0,0,IF(P39 &gt;P20,2,IF(P39 =P20,1,0)))</f>
        <v>0</v>
      </c>
      <c r="Q43" s="127"/>
      <c r="R43" s="103">
        <f t="shared" si="1"/>
        <v>0</v>
      </c>
    </row>
    <row r="44" spans="1:18" ht="15" customHeight="1" thickBot="1" x14ac:dyDescent="0.45">
      <c r="A44" s="117" t="s">
        <v>124</v>
      </c>
      <c r="B44" s="316"/>
      <c r="C44" s="317"/>
      <c r="D44" s="317"/>
      <c r="E44" s="317"/>
      <c r="F44" s="118">
        <f>F40+F41+F42+F43</f>
        <v>0</v>
      </c>
      <c r="G44" s="119"/>
      <c r="H44" s="119">
        <f>H40+H41+H42+H43</f>
        <v>0</v>
      </c>
      <c r="I44" s="119"/>
      <c r="J44" s="119">
        <f>J40+J41+J42+J43</f>
        <v>0</v>
      </c>
      <c r="K44" s="119"/>
      <c r="L44" s="119">
        <f>L40+L41+L42+L43</f>
        <v>0</v>
      </c>
      <c r="M44" s="119"/>
      <c r="N44" s="119">
        <f>N40+N41+N42+N43</f>
        <v>0</v>
      </c>
      <c r="O44" s="119"/>
      <c r="P44" s="119">
        <f>P40+P41+P42+P43</f>
        <v>0</v>
      </c>
      <c r="Q44" s="130"/>
      <c r="R44" s="131">
        <f t="shared" si="1"/>
        <v>0</v>
      </c>
    </row>
    <row r="45" spans="1:18" ht="15" customHeight="1" x14ac:dyDescent="0.4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</row>
    <row r="46" spans="1:18" ht="15" customHeight="1" x14ac:dyDescent="0.4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</row>
    <row r="47" spans="1:18" ht="15" customHeight="1" x14ac:dyDescent="0.4">
      <c r="A47" s="315" t="str">
        <f>A6</f>
        <v>LBC 2012</v>
      </c>
      <c r="B47" s="315"/>
      <c r="C47" s="93"/>
      <c r="D47" s="315" t="str">
        <f>E6</f>
        <v>Slagelse BC</v>
      </c>
      <c r="E47" s="315"/>
      <c r="F47" s="315"/>
      <c r="G47" s="315"/>
      <c r="H47" s="315"/>
      <c r="I47" s="93"/>
      <c r="J47" s="315" t="s">
        <v>90</v>
      </c>
      <c r="K47" s="315"/>
      <c r="L47" s="315"/>
      <c r="M47" s="315"/>
      <c r="N47" s="315"/>
      <c r="O47" s="315"/>
      <c r="P47" s="315"/>
      <c r="Q47" s="315"/>
      <c r="R47" s="315"/>
    </row>
    <row r="48" spans="1:18" ht="15" customHeight="1" x14ac:dyDescent="0.4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</row>
  </sheetData>
  <sheetProtection sheet="1" objects="1" scenarios="1" selectLockedCells="1"/>
  <mergeCells count="47">
    <mergeCell ref="B9:E9"/>
    <mergeCell ref="A1:C1"/>
    <mergeCell ref="A2:C2"/>
    <mergeCell ref="A3:C3"/>
    <mergeCell ref="D1:N1"/>
    <mergeCell ref="D2:N2"/>
    <mergeCell ref="D3:N3"/>
    <mergeCell ref="D4:N4"/>
    <mergeCell ref="B8:E8"/>
    <mergeCell ref="B22:E22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20:E20"/>
    <mergeCell ref="B21:E21"/>
    <mergeCell ref="B33:E33"/>
    <mergeCell ref="B34:E34"/>
    <mergeCell ref="B35:E35"/>
    <mergeCell ref="B36:E36"/>
    <mergeCell ref="B25:E25"/>
    <mergeCell ref="A26:R26"/>
    <mergeCell ref="B27:E27"/>
    <mergeCell ref="B28:E28"/>
    <mergeCell ref="B29:E29"/>
    <mergeCell ref="B30:E30"/>
    <mergeCell ref="J47:R47"/>
    <mergeCell ref="B44:E44"/>
    <mergeCell ref="B19:E19"/>
    <mergeCell ref="B23:E23"/>
    <mergeCell ref="B24:E24"/>
    <mergeCell ref="B42:E42"/>
    <mergeCell ref="B43:E43"/>
    <mergeCell ref="B38:E38"/>
    <mergeCell ref="D47:H47"/>
    <mergeCell ref="B37:E37"/>
    <mergeCell ref="B39:E39"/>
    <mergeCell ref="B40:E40"/>
    <mergeCell ref="B41:E41"/>
    <mergeCell ref="A47:B47"/>
    <mergeCell ref="B31:E31"/>
    <mergeCell ref="B32:E32"/>
  </mergeCells>
  <pageMargins left="0" right="0" top="0.74803149606299213" bottom="0.74803149606299213" header="0.31496062992125984" footer="0.31496062992125984"/>
  <pageSetup paperSize="9" orientation="portrait" r:id="rId1"/>
  <ignoredErrors>
    <ignoredError sqref="A10:E15 A29:E3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Zeros="0" zoomScaleNormal="100" workbookViewId="0">
      <selection activeCell="A9" sqref="A9"/>
    </sheetView>
  </sheetViews>
  <sheetFormatPr defaultRowHeight="15" customHeight="1" x14ac:dyDescent="0.4"/>
  <cols>
    <col min="1" max="1" width="15.77734375" style="20" customWidth="1"/>
    <col min="2" max="2" width="8.88671875" style="20"/>
    <col min="3" max="3" width="3.77734375" style="20" customWidth="1"/>
    <col min="4" max="4" width="8.88671875" style="20" customWidth="1"/>
    <col min="5" max="5" width="5.77734375" style="20" customWidth="1"/>
    <col min="6" max="6" width="6.33203125" style="20" customWidth="1"/>
    <col min="7" max="7" width="2.109375" style="20" customWidth="1"/>
    <col min="8" max="8" width="6.33203125" style="20" customWidth="1"/>
    <col min="9" max="9" width="2.109375" style="20" customWidth="1"/>
    <col min="10" max="10" width="6.33203125" style="20" customWidth="1"/>
    <col min="11" max="11" width="2.109375" style="20" customWidth="1"/>
    <col min="12" max="12" width="6.33203125" style="20" customWidth="1"/>
    <col min="13" max="13" width="2.109375" style="20" customWidth="1"/>
    <col min="14" max="14" width="13.5546875" style="20" bestFit="1" customWidth="1"/>
    <col min="15" max="16384" width="8.88671875" style="20"/>
  </cols>
  <sheetData>
    <row r="1" spans="1:14" ht="15" customHeight="1" x14ac:dyDescent="0.4">
      <c r="A1" s="350" t="s">
        <v>71</v>
      </c>
      <c r="B1" s="351"/>
      <c r="C1" s="352"/>
      <c r="D1" s="350" t="s">
        <v>82</v>
      </c>
      <c r="E1" s="351"/>
      <c r="F1" s="351"/>
      <c r="G1" s="351"/>
      <c r="H1" s="351"/>
      <c r="I1" s="351"/>
      <c r="J1" s="351"/>
      <c r="K1" s="351"/>
      <c r="L1" s="351"/>
      <c r="M1" s="352"/>
    </row>
    <row r="2" spans="1:14" ht="15" customHeight="1" thickBot="1" x14ac:dyDescent="0.45">
      <c r="A2" s="359">
        <f>Misafregning!B3</f>
        <v>389822</v>
      </c>
      <c r="B2" s="360"/>
      <c r="C2" s="361"/>
      <c r="D2" s="359" t="str">
        <f>VLOOKUP($A$2,Kampe!$A$1:$U$49,19,FALSE)</f>
        <v>Øst række Damer Række 1</v>
      </c>
      <c r="E2" s="360"/>
      <c r="F2" s="360"/>
      <c r="G2" s="360"/>
      <c r="H2" s="360"/>
      <c r="I2" s="360"/>
      <c r="J2" s="360"/>
      <c r="K2" s="360"/>
      <c r="L2" s="360"/>
      <c r="M2" s="361"/>
    </row>
    <row r="3" spans="1:14" ht="15" customHeight="1" x14ac:dyDescent="0.4">
      <c r="A3" s="356" t="s">
        <v>132</v>
      </c>
      <c r="B3" s="357"/>
      <c r="C3" s="358"/>
      <c r="D3" s="350" t="s">
        <v>83</v>
      </c>
      <c r="E3" s="351"/>
      <c r="F3" s="351"/>
      <c r="G3" s="351"/>
      <c r="H3" s="351"/>
      <c r="I3" s="351"/>
      <c r="J3" s="351"/>
      <c r="K3" s="351"/>
      <c r="L3" s="351"/>
      <c r="M3" s="352"/>
    </row>
    <row r="4" spans="1:14" ht="15" customHeight="1" thickBot="1" x14ac:dyDescent="0.45">
      <c r="A4" s="220">
        <f>VLOOKUP($A$2,Kampe!$A:$V,3)</f>
        <v>44170</v>
      </c>
      <c r="B4" s="222">
        <f>VLOOKUP(A2,Kampe!$A:$N,4)</f>
        <v>0.45833333333333331</v>
      </c>
      <c r="C4" s="221"/>
      <c r="D4" s="359" t="str">
        <f>VLOOKUP($A$2,Kampe!$A$1:$U$49,5,FALSE)</f>
        <v>Køge</v>
      </c>
      <c r="E4" s="360"/>
      <c r="F4" s="360"/>
      <c r="G4" s="360"/>
      <c r="H4" s="360"/>
      <c r="I4" s="360"/>
      <c r="J4" s="360"/>
      <c r="K4" s="360"/>
      <c r="L4" s="360"/>
      <c r="M4" s="361"/>
    </row>
    <row r="5" spans="1:14" ht="9" customHeight="1" thickBot="1" x14ac:dyDescent="0.4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22.2" customHeight="1" thickBot="1" x14ac:dyDescent="0.45">
      <c r="A6" s="93" t="str">
        <f>VLOOKUP(A2,Kampe!A1:U49,20,FALSE)</f>
        <v>LBC 2012</v>
      </c>
      <c r="B6" s="203"/>
      <c r="C6" s="94" t="s">
        <v>85</v>
      </c>
      <c r="D6" s="203"/>
      <c r="E6" s="93" t="str">
        <f>VLOOKUP(A2,Kampe!A1:U49,21,FALSE)</f>
        <v>Slagelse BC</v>
      </c>
      <c r="F6" s="93"/>
      <c r="G6" s="93"/>
      <c r="H6" s="93"/>
      <c r="I6" s="93"/>
      <c r="J6" s="93"/>
      <c r="K6" s="93"/>
      <c r="L6" s="93"/>
      <c r="M6" s="93"/>
      <c r="N6" s="93"/>
    </row>
    <row r="7" spans="1:14" ht="9" customHeight="1" thickBot="1" x14ac:dyDescent="0.4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s="37" customFormat="1" ht="15" customHeight="1" thickBot="1" x14ac:dyDescent="0.35">
      <c r="A8" s="95"/>
      <c r="B8" s="336" t="str">
        <f>A6</f>
        <v>LBC 2012</v>
      </c>
      <c r="C8" s="337"/>
      <c r="D8" s="337"/>
      <c r="E8" s="337"/>
      <c r="F8" s="96">
        <v>1</v>
      </c>
      <c r="G8" s="97"/>
      <c r="H8" s="97">
        <v>2</v>
      </c>
      <c r="I8" s="97"/>
      <c r="J8" s="97">
        <v>3</v>
      </c>
      <c r="K8" s="97"/>
      <c r="L8" s="97">
        <v>4</v>
      </c>
      <c r="M8" s="97"/>
      <c r="N8" s="99" t="s">
        <v>26</v>
      </c>
    </row>
    <row r="9" spans="1:14" s="37" customFormat="1" ht="15" customHeight="1" x14ac:dyDescent="0.3">
      <c r="A9" s="227" t="str">
        <f>IF($A$6="LBC 2012",VLOOKUP(Misafregning!$A$8,Licensnumre!$C:$G,3),0)</f>
        <v>161248-HAKR</v>
      </c>
      <c r="B9" s="338" t="str">
        <f>IF($A$6="LBC 2012",VLOOKUP(Misafregning!$A$8,Licensnumre!$C:$G,2),0)</f>
        <v>Hanne Krøger</v>
      </c>
      <c r="C9" s="339">
        <f>IF($E$6 = "LBC 2012",VLOOKUP(Misafregning!#REF!,Licensnumre!$C:$J,3,FALSE),0)</f>
        <v>0</v>
      </c>
      <c r="D9" s="339">
        <f>IF($E$6 = "LBC 2012",VLOOKUP(Misafregning!#REF!,Licensnumre!$C:$J,3,FALSE),0)</f>
        <v>0</v>
      </c>
      <c r="E9" s="340">
        <f>IF($E$6 = "LBC 2012",VLOOKUP(Misafregning!#REF!,Licensnumre!$C:$J,3,FALSE),0)</f>
        <v>0</v>
      </c>
      <c r="F9" s="132"/>
      <c r="G9" s="100">
        <v>1</v>
      </c>
      <c r="H9" s="100"/>
      <c r="I9" s="100">
        <v>1</v>
      </c>
      <c r="J9" s="100"/>
      <c r="K9" s="100">
        <v>1</v>
      </c>
      <c r="L9" s="100"/>
      <c r="M9" s="194">
        <v>1</v>
      </c>
      <c r="N9" s="101">
        <f t="shared" ref="N9:N21" si="0">SUM(F9+H9+J9+L9)</f>
        <v>0</v>
      </c>
    </row>
    <row r="10" spans="1:14" s="37" customFormat="1" ht="15" customHeight="1" x14ac:dyDescent="0.3">
      <c r="A10" s="135" t="str">
        <f>IF(Misafregning!A9=0,0,IF($A$6 = "LBC 2012",VLOOKUP(Misafregning!A9,Licensnumre!$C:$J,3,FALSE),0))</f>
        <v>300148-MAHI</v>
      </c>
      <c r="B10" s="325" t="str">
        <f>IF(Misafregning!A9=0,0,IF($A$6 = "LBC 2012",VLOOKUP(Misafregning!A9,Licensnumre!$C:$J,2,FALSE),0))</f>
        <v>Margit Hindsdal</v>
      </c>
      <c r="C10" s="326">
        <f>IF(Misafregning!C9=0,0,IF($A$6 = "LBC 2012",VLOOKUP(Misafregning!C9,Licensnumre!$C:$J,3,FALSE),0))</f>
        <v>0</v>
      </c>
      <c r="D10" s="326">
        <f>IF(Misafregning!D9=0,0,IF($A$6 = "LBC 2012",VLOOKUP(Misafregning!D9,Licensnumre!$C:$J,3,FALSE),0))</f>
        <v>0</v>
      </c>
      <c r="E10" s="327">
        <f>IF(Misafregning!E9=0,0,IF($A$6 = "LBC 2012",VLOOKUP(Misafregning!E9,Licensnumre!$C:$J,3,FALSE),0))</f>
        <v>0</v>
      </c>
      <c r="F10" s="133"/>
      <c r="G10" s="102">
        <v>1</v>
      </c>
      <c r="H10" s="102"/>
      <c r="I10" s="102">
        <v>1</v>
      </c>
      <c r="J10" s="102"/>
      <c r="K10" s="102">
        <v>1</v>
      </c>
      <c r="L10" s="102"/>
      <c r="M10" s="195">
        <v>1</v>
      </c>
      <c r="N10" s="103">
        <f t="shared" si="0"/>
        <v>0</v>
      </c>
    </row>
    <row r="11" spans="1:14" s="37" customFormat="1" ht="15" customHeight="1" x14ac:dyDescent="0.3">
      <c r="A11" s="135" t="str">
        <f>IF(Misafregning!A10=0,0,IF($A$6 = "LBC 2012",VLOOKUP(Misafregning!A10,Licensnumre!$C:$J,3,FALSE),0))</f>
        <v>240570-LECH</v>
      </c>
      <c r="B11" s="325" t="str">
        <f>IF(Misafregning!A10=0,0,IF($A$6 = "LBC 2012",VLOOKUP(Misafregning!A10,Licensnumre!$C:$J,2,FALSE),0))</f>
        <v>Lena Christensen</v>
      </c>
      <c r="C11" s="326">
        <f>IF(Misafregning!C10=0,0,IF($A$6 = "LBC 2012",VLOOKUP(Misafregning!C10,Licensnumre!$C:$J,3,FALSE),0))</f>
        <v>0</v>
      </c>
      <c r="D11" s="326">
        <f>IF(Misafregning!D10=0,0,IF($A$6 = "LBC 2012",VLOOKUP(Misafregning!D10,Licensnumre!$C:$J,3,FALSE),0))</f>
        <v>0</v>
      </c>
      <c r="E11" s="327">
        <f>IF(Misafregning!E10=0,0,IF($A$6 = "LBC 2012",VLOOKUP(Misafregning!E10,Licensnumre!$C:$J,3,FALSE),0))</f>
        <v>0</v>
      </c>
      <c r="F11" s="133"/>
      <c r="G11" s="102">
        <v>2</v>
      </c>
      <c r="H11" s="102"/>
      <c r="I11" s="102">
        <v>2</v>
      </c>
      <c r="J11" s="102"/>
      <c r="K11" s="102">
        <v>2</v>
      </c>
      <c r="L11" s="102"/>
      <c r="M11" s="195">
        <v>2</v>
      </c>
      <c r="N11" s="103">
        <f t="shared" si="0"/>
        <v>0</v>
      </c>
    </row>
    <row r="12" spans="1:14" s="37" customFormat="1" ht="15" customHeight="1" x14ac:dyDescent="0.3">
      <c r="A12" s="135" t="str">
        <f>IF(Misafregning!A11=0,0,IF($A$6 = "LBC 2012",VLOOKUP(Misafregning!A11,Licensnumre!$C:$J,3,FALSE),0))</f>
        <v>080160-GIHA</v>
      </c>
      <c r="B12" s="325" t="str">
        <f>IF(Misafregning!A11=0,0,IF($A$6 = "LBC 2012",VLOOKUP(Misafregning!A11,Licensnumre!$C:$J,2,FALSE),0))</f>
        <v>Gitte Hansen</v>
      </c>
      <c r="C12" s="326"/>
      <c r="D12" s="326"/>
      <c r="E12" s="327"/>
      <c r="F12" s="133"/>
      <c r="G12" s="102">
        <v>2</v>
      </c>
      <c r="H12" s="102"/>
      <c r="I12" s="102">
        <v>2</v>
      </c>
      <c r="J12" s="102"/>
      <c r="K12" s="102">
        <v>2</v>
      </c>
      <c r="L12" s="102"/>
      <c r="M12" s="195">
        <v>2</v>
      </c>
      <c r="N12" s="103">
        <f t="shared" si="0"/>
        <v>0</v>
      </c>
    </row>
    <row r="13" spans="1:14" s="37" customFormat="1" ht="15" customHeight="1" x14ac:dyDescent="0.3">
      <c r="A13" s="135">
        <f>IF(Misafregning!A12=0,0,IF($A$6 = "LBC 2012",VLOOKUP(Misafregning!A12,Licensnumre!$C:$J,3,FALSE),0))</f>
        <v>0</v>
      </c>
      <c r="B13" s="325">
        <f>IF(Misafregning!A12=0,0,IF($A$6 = "LBC 2012",VLOOKUP(Misafregning!A12,Licensnumre!$C:$J,2,FALSE),0))</f>
        <v>0</v>
      </c>
      <c r="C13" s="326">
        <f>IF(Misafregning!C14=0,0,IF($A$6 = "LBC 2012",VLOOKUP(Misafregning!C14,Licensnumre!$C:$J,3,FALSE),0))</f>
        <v>0</v>
      </c>
      <c r="D13" s="326">
        <f>IF(Misafregning!D14=0,0,IF($A$6 = "LBC 2012",VLOOKUP(Misafregning!D14,Licensnumre!$C:$J,3,FALSE),0))</f>
        <v>0</v>
      </c>
      <c r="E13" s="327">
        <f>IF(Misafregning!E14=0,0,IF($A$6 = "LBC 2012",VLOOKUP(Misafregning!E14,Licensnumre!$C:$J,3,FALSE),0))</f>
        <v>0</v>
      </c>
      <c r="F13" s="134"/>
      <c r="G13" s="104"/>
      <c r="H13" s="104"/>
      <c r="I13" s="104"/>
      <c r="J13" s="104"/>
      <c r="K13" s="104"/>
      <c r="L13" s="104"/>
      <c r="M13" s="105"/>
      <c r="N13" s="103">
        <f t="shared" si="0"/>
        <v>0</v>
      </c>
    </row>
    <row r="14" spans="1:14" s="37" customFormat="1" ht="15" customHeight="1" thickBot="1" x14ac:dyDescent="0.35">
      <c r="A14" s="117" t="s">
        <v>87</v>
      </c>
      <c r="B14" s="328"/>
      <c r="C14" s="329"/>
      <c r="D14" s="329"/>
      <c r="E14" s="330"/>
      <c r="F14" s="136"/>
      <c r="G14" s="122"/>
      <c r="H14" s="122"/>
      <c r="I14" s="122"/>
      <c r="J14" s="122"/>
      <c r="K14" s="122"/>
      <c r="L14" s="122"/>
      <c r="M14" s="123"/>
      <c r="N14" s="131">
        <f t="shared" si="0"/>
        <v>0</v>
      </c>
    </row>
    <row r="15" spans="1:14" s="37" customFormat="1" ht="15" customHeight="1" x14ac:dyDescent="0.3">
      <c r="A15" s="146" t="s">
        <v>127</v>
      </c>
      <c r="B15" s="341"/>
      <c r="C15" s="342"/>
      <c r="D15" s="342"/>
      <c r="E15" s="343"/>
      <c r="F15" s="108">
        <f>SUMIF(G9:G14,1,F9:F14)</f>
        <v>0</v>
      </c>
      <c r="G15" s="109"/>
      <c r="H15" s="109">
        <f>SUMIF(I9:I14,1,H9:H14)</f>
        <v>0</v>
      </c>
      <c r="I15" s="109"/>
      <c r="J15" s="109">
        <f>SUMIF(K9:K14,1,J9:J14)</f>
        <v>0</v>
      </c>
      <c r="K15" s="109"/>
      <c r="L15" s="109">
        <f>SUMIF(M9:M14,1,L9:L14)</f>
        <v>0</v>
      </c>
      <c r="M15" s="129"/>
      <c r="N15" s="101">
        <f t="shared" si="0"/>
        <v>0</v>
      </c>
    </row>
    <row r="16" spans="1:14" s="37" customFormat="1" ht="15" customHeight="1" x14ac:dyDescent="0.3">
      <c r="A16" s="112" t="s">
        <v>126</v>
      </c>
      <c r="B16" s="344"/>
      <c r="C16" s="345"/>
      <c r="D16" s="345"/>
      <c r="E16" s="346"/>
      <c r="F16" s="67">
        <f>SUMIF(G9:G14,2,F9:F14)</f>
        <v>0</v>
      </c>
      <c r="G16" s="75"/>
      <c r="H16" s="75">
        <f>SUMIF(I9:I14,2,H9:H14)</f>
        <v>0</v>
      </c>
      <c r="I16" s="75"/>
      <c r="J16" s="75">
        <f>SUMIF(K9:K14,2,J9:J14)</f>
        <v>0</v>
      </c>
      <c r="K16" s="75"/>
      <c r="L16" s="75">
        <f>SUMIF(M9:M14,2,L9:L14)</f>
        <v>0</v>
      </c>
      <c r="M16" s="127"/>
      <c r="N16" s="103">
        <f t="shared" si="0"/>
        <v>0</v>
      </c>
    </row>
    <row r="17" spans="1:14" s="37" customFormat="1" ht="15" customHeight="1" thickBot="1" x14ac:dyDescent="0.35">
      <c r="A17" s="114" t="s">
        <v>121</v>
      </c>
      <c r="B17" s="347"/>
      <c r="C17" s="348"/>
      <c r="D17" s="348"/>
      <c r="E17" s="349"/>
      <c r="F17" s="68">
        <f>F15+F16</f>
        <v>0</v>
      </c>
      <c r="G17" s="76"/>
      <c r="H17" s="68">
        <f>H15+H16</f>
        <v>0</v>
      </c>
      <c r="I17" s="76"/>
      <c r="J17" s="68">
        <f>J15+J16</f>
        <v>0</v>
      </c>
      <c r="K17" s="76"/>
      <c r="L17" s="68">
        <f>L15+L16</f>
        <v>0</v>
      </c>
      <c r="M17" s="128"/>
      <c r="N17" s="131">
        <f t="shared" si="0"/>
        <v>0</v>
      </c>
    </row>
    <row r="18" spans="1:14" s="37" customFormat="1" ht="15" customHeight="1" x14ac:dyDescent="0.3">
      <c r="A18" s="107" t="s">
        <v>128</v>
      </c>
      <c r="B18" s="331"/>
      <c r="C18" s="332"/>
      <c r="D18" s="332"/>
      <c r="E18" s="332"/>
      <c r="F18" s="116">
        <f>IF(F15 = 0,0,IF(F15 &gt;F30,2,IF(F15 =F30,1,0)))</f>
        <v>0</v>
      </c>
      <c r="G18" s="109"/>
      <c r="H18" s="109">
        <f>IF(H15 = 0,0,IF(H15 &gt;H30,2,IF(H15 =H30,1,0)))</f>
        <v>0</v>
      </c>
      <c r="I18" s="109"/>
      <c r="J18" s="109">
        <f>IF(J15 = 0,0,IF(J15 &gt;J30,2,IF(J15 =J30,1,0)))</f>
        <v>0</v>
      </c>
      <c r="K18" s="109"/>
      <c r="L18" s="109">
        <f>IF(L15 = 0,0,IF(L15 &gt;L30,2,IF(L15 =L30,1,0)))</f>
        <v>0</v>
      </c>
      <c r="M18" s="110"/>
      <c r="N18" s="111">
        <f t="shared" si="0"/>
        <v>0</v>
      </c>
    </row>
    <row r="19" spans="1:14" s="37" customFormat="1" ht="15" customHeight="1" x14ac:dyDescent="0.3">
      <c r="A19" s="112" t="s">
        <v>129</v>
      </c>
      <c r="B19" s="318"/>
      <c r="C19" s="319"/>
      <c r="D19" s="319"/>
      <c r="E19" s="319"/>
      <c r="F19" s="73">
        <f>IF(F16 = 0,0,IF(F16 &gt;F31,2,IF(F16 =F31,1,0)))</f>
        <v>0</v>
      </c>
      <c r="G19" s="75"/>
      <c r="H19" s="75">
        <f>IF(H16 = 0,0,IF(H16 &gt;H31,2,IF(H16 =H31,1,0)))</f>
        <v>0</v>
      </c>
      <c r="I19" s="75"/>
      <c r="J19" s="75">
        <f>IF(J16 = 0,0,IF(J16 &gt;J31,2,IF(J16 =J31,1,0)))</f>
        <v>0</v>
      </c>
      <c r="K19" s="75"/>
      <c r="L19" s="75">
        <f>IF(L16 = 0,0,IF(L16 &gt;L31,2,IF(L16 =L31,1,0)))</f>
        <v>0</v>
      </c>
      <c r="M19" s="77"/>
      <c r="N19" s="113">
        <f t="shared" si="0"/>
        <v>0</v>
      </c>
    </row>
    <row r="20" spans="1:14" s="37" customFormat="1" ht="15" customHeight="1" thickBot="1" x14ac:dyDescent="0.35">
      <c r="A20" s="114" t="s">
        <v>131</v>
      </c>
      <c r="B20" s="318"/>
      <c r="C20" s="319"/>
      <c r="D20" s="319"/>
      <c r="E20" s="319"/>
      <c r="F20" s="118">
        <f>IF(F17 = 0,0,IF(F17 &gt;F32,2,IF(F17 =F32,1,0)))</f>
        <v>0</v>
      </c>
      <c r="G20" s="119"/>
      <c r="H20" s="119">
        <f>IF(H17 = 0,0,IF(H17 &gt;H32,2,IF(H17 =H32,1,0)))</f>
        <v>0</v>
      </c>
      <c r="I20" s="119"/>
      <c r="J20" s="119">
        <f>IF(J17 = 0,0,IF(J17 &gt;J32,2,IF(J17 =J32,1,0)))</f>
        <v>0</v>
      </c>
      <c r="K20" s="119"/>
      <c r="L20" s="119">
        <f>IF(L17 = 0,0,IF(L17 &gt;L32,2,IF(L17 =L32,1,0)))</f>
        <v>0</v>
      </c>
      <c r="M20" s="120"/>
      <c r="N20" s="113">
        <f t="shared" si="0"/>
        <v>0</v>
      </c>
    </row>
    <row r="21" spans="1:14" s="37" customFormat="1" ht="15" customHeight="1" thickBot="1" x14ac:dyDescent="0.35">
      <c r="A21" s="117" t="s">
        <v>124</v>
      </c>
      <c r="B21" s="316"/>
      <c r="C21" s="317"/>
      <c r="D21" s="317"/>
      <c r="E21" s="317"/>
      <c r="F21" s="209">
        <f>F18+F19+F20</f>
        <v>0</v>
      </c>
      <c r="G21" s="210"/>
      <c r="H21" s="210">
        <f>H18+H19+H20</f>
        <v>0</v>
      </c>
      <c r="I21" s="210"/>
      <c r="J21" s="210">
        <f>J18+J19+J20</f>
        <v>0</v>
      </c>
      <c r="K21" s="210"/>
      <c r="L21" s="210">
        <f>L18+L19+L20</f>
        <v>0</v>
      </c>
      <c r="M21" s="211"/>
      <c r="N21" s="121">
        <f t="shared" si="0"/>
        <v>0</v>
      </c>
    </row>
    <row r="22" spans="1:14" ht="15" customHeight="1" thickBot="1" x14ac:dyDescent="0.45">
      <c r="A22" s="333"/>
      <c r="B22" s="334"/>
      <c r="C22" s="334"/>
      <c r="D22" s="334"/>
      <c r="E22" s="334"/>
      <c r="F22" s="362"/>
      <c r="G22" s="362"/>
      <c r="H22" s="362"/>
      <c r="I22" s="362"/>
      <c r="J22" s="362"/>
      <c r="K22" s="362"/>
      <c r="L22" s="362"/>
      <c r="M22" s="362"/>
      <c r="N22" s="363"/>
    </row>
    <row r="23" spans="1:14" s="37" customFormat="1" ht="15" customHeight="1" thickBot="1" x14ac:dyDescent="0.35">
      <c r="A23" s="95"/>
      <c r="B23" s="336" t="str">
        <f>E6</f>
        <v>Slagelse BC</v>
      </c>
      <c r="C23" s="337"/>
      <c r="D23" s="337"/>
      <c r="E23" s="337"/>
      <c r="F23" s="96">
        <v>1</v>
      </c>
      <c r="G23" s="97"/>
      <c r="H23" s="97">
        <v>2</v>
      </c>
      <c r="I23" s="97"/>
      <c r="J23" s="97">
        <v>3</v>
      </c>
      <c r="K23" s="97"/>
      <c r="L23" s="97">
        <v>4</v>
      </c>
      <c r="M23" s="204"/>
      <c r="N23" s="205" t="s">
        <v>26</v>
      </c>
    </row>
    <row r="24" spans="1:14" s="37" customFormat="1" ht="15" customHeight="1" x14ac:dyDescent="0.3">
      <c r="A24" s="227">
        <f>IF($E$6="LBC 2012",VLOOKUP(Misafregning!$A$8,Licensnumre!C:G,3),0)</f>
        <v>0</v>
      </c>
      <c r="B24" s="338">
        <f>IF($E$6="LBC 2012",VLOOKUP(Misafregning!$A$8,Licensnumre!C:G,2),0)</f>
        <v>0</v>
      </c>
      <c r="C24" s="339">
        <f>IF($E$6 = "LBC 2012",VLOOKUP(Misafregning!C14,Licensnumre!$C:$J,3,FALSE),0)</f>
        <v>0</v>
      </c>
      <c r="D24" s="339">
        <f>IF($E$6 = "LBC 2012",VLOOKUP(Misafregning!D14,Licensnumre!$C:$J,3,FALSE),0)</f>
        <v>0</v>
      </c>
      <c r="E24" s="340">
        <f>IF($E$6 = "LBC 2012",VLOOKUP(Misafregning!E14,Licensnumre!$C:$J,3,FALSE),0)</f>
        <v>0</v>
      </c>
      <c r="F24" s="132"/>
      <c r="G24" s="100">
        <v>1</v>
      </c>
      <c r="H24" s="100"/>
      <c r="I24" s="100">
        <v>2</v>
      </c>
      <c r="J24" s="100"/>
      <c r="K24" s="100">
        <v>1</v>
      </c>
      <c r="L24" s="100"/>
      <c r="M24" s="194">
        <v>2</v>
      </c>
      <c r="N24" s="101">
        <f t="shared" ref="N24:N36" si="1">SUM(F24+H24+J24+L24)</f>
        <v>0</v>
      </c>
    </row>
    <row r="25" spans="1:14" s="37" customFormat="1" ht="15" customHeight="1" x14ac:dyDescent="0.3">
      <c r="A25" s="177">
        <f>IF(Misafregning!A9=0,0,IF($E$6 = "LBC 2012",VLOOKUP(Misafregning!A9,Licensnumre!$C:$J,3,FALSE),0))</f>
        <v>0</v>
      </c>
      <c r="B25" s="325">
        <f>IF(Misafregning!A9=0,0,IF($E$6 = "LBC 2012",VLOOKUP(Misafregning!A9,Licensnumre!$C:$J,2,FALSE),0))</f>
        <v>0</v>
      </c>
      <c r="C25" s="326"/>
      <c r="D25" s="326"/>
      <c r="E25" s="327"/>
      <c r="F25" s="133"/>
      <c r="G25" s="102">
        <v>1</v>
      </c>
      <c r="H25" s="102"/>
      <c r="I25" s="102">
        <v>2</v>
      </c>
      <c r="J25" s="102"/>
      <c r="K25" s="102">
        <v>1</v>
      </c>
      <c r="L25" s="102"/>
      <c r="M25" s="195">
        <v>2</v>
      </c>
      <c r="N25" s="103">
        <f t="shared" si="1"/>
        <v>0</v>
      </c>
    </row>
    <row r="26" spans="1:14" s="37" customFormat="1" ht="15" customHeight="1" x14ac:dyDescent="0.3">
      <c r="A26" s="177">
        <f>IF(Misafregning!A10=0,0,IF($E$6 = "LBC 2012",VLOOKUP(Misafregning!A10,Licensnumre!$C:$J,3,FALSE),0))</f>
        <v>0</v>
      </c>
      <c r="B26" s="325">
        <f>IF(Misafregning!A10=0,0,IF($E$6 = "LBC 2012",VLOOKUP(Misafregning!A10,Licensnumre!$C:$J,2,FALSE),0))</f>
        <v>0</v>
      </c>
      <c r="C26" s="326"/>
      <c r="D26" s="326"/>
      <c r="E26" s="327"/>
      <c r="F26" s="133"/>
      <c r="G26" s="102">
        <v>2</v>
      </c>
      <c r="H26" s="102"/>
      <c r="I26" s="102">
        <v>1</v>
      </c>
      <c r="J26" s="102"/>
      <c r="K26" s="102">
        <v>2</v>
      </c>
      <c r="L26" s="102"/>
      <c r="M26" s="195">
        <v>1</v>
      </c>
      <c r="N26" s="103">
        <f t="shared" si="1"/>
        <v>0</v>
      </c>
    </row>
    <row r="27" spans="1:14" s="37" customFormat="1" ht="15" customHeight="1" x14ac:dyDescent="0.3">
      <c r="A27" s="177">
        <f>IF(Misafregning!A11=0,0,IF($E$6 = "LBC 2012",VLOOKUP(Misafregning!A11,Licensnumre!$C:$J,3,FALSE),0))</f>
        <v>0</v>
      </c>
      <c r="B27" s="325">
        <f>IF(Misafregning!A11=0,0,IF($E$6 = "LBC 2012",VLOOKUP(Misafregning!A11,Licensnumre!$C:$J,2,FALSE),0))</f>
        <v>0</v>
      </c>
      <c r="C27" s="326"/>
      <c r="D27" s="326"/>
      <c r="E27" s="327"/>
      <c r="F27" s="133"/>
      <c r="G27" s="102">
        <v>2</v>
      </c>
      <c r="H27" s="102"/>
      <c r="I27" s="102">
        <v>1</v>
      </c>
      <c r="J27" s="102"/>
      <c r="K27" s="102">
        <v>2</v>
      </c>
      <c r="L27" s="102"/>
      <c r="M27" s="195">
        <v>1</v>
      </c>
      <c r="N27" s="103">
        <f t="shared" si="1"/>
        <v>0</v>
      </c>
    </row>
    <row r="28" spans="1:14" s="37" customFormat="1" ht="15" customHeight="1" x14ac:dyDescent="0.3">
      <c r="A28" s="177">
        <f>IF(Misafregning!A12=0,0,IF($E$6 = "LBC 2012",VLOOKUP(Misafregning!A12,Licensnumre!$C:$J,3,FALSE),0))</f>
        <v>0</v>
      </c>
      <c r="B28" s="325">
        <f>IF(Misafregning!A12=0,0,IF($E$6 = "LBC 2012",VLOOKUP(Misafregning!A12,Licensnumre!$C:$J,2,FALSE),0))</f>
        <v>0</v>
      </c>
      <c r="C28" s="326"/>
      <c r="D28" s="326"/>
      <c r="E28" s="327"/>
      <c r="F28" s="134"/>
      <c r="G28" s="104"/>
      <c r="H28" s="104"/>
      <c r="I28" s="104"/>
      <c r="J28" s="104"/>
      <c r="K28" s="104"/>
      <c r="L28" s="104"/>
      <c r="M28" s="105"/>
      <c r="N28" s="103">
        <f t="shared" si="1"/>
        <v>0</v>
      </c>
    </row>
    <row r="29" spans="1:14" s="37" customFormat="1" ht="15" customHeight="1" thickBot="1" x14ac:dyDescent="0.35">
      <c r="A29" s="131" t="s">
        <v>87</v>
      </c>
      <c r="B29" s="328"/>
      <c r="C29" s="329"/>
      <c r="D29" s="329"/>
      <c r="E29" s="330"/>
      <c r="F29" s="206"/>
      <c r="G29" s="207"/>
      <c r="H29" s="207"/>
      <c r="I29" s="207"/>
      <c r="J29" s="207"/>
      <c r="K29" s="207"/>
      <c r="L29" s="207"/>
      <c r="M29" s="208"/>
      <c r="N29" s="131">
        <f t="shared" si="1"/>
        <v>0</v>
      </c>
    </row>
    <row r="30" spans="1:14" s="37" customFormat="1" ht="15" customHeight="1" x14ac:dyDescent="0.3">
      <c r="A30" s="107" t="s">
        <v>127</v>
      </c>
      <c r="B30" s="331"/>
      <c r="C30" s="332"/>
      <c r="D30" s="332"/>
      <c r="E30" s="332"/>
      <c r="F30" s="116">
        <f>SUMIF(G24:G29,1,F24:F29)</f>
        <v>0</v>
      </c>
      <c r="G30" s="109"/>
      <c r="H30" s="109">
        <f>SUMIF(I24:I29,1,H24:H29)</f>
        <v>0</v>
      </c>
      <c r="I30" s="109"/>
      <c r="J30" s="109">
        <f>SUMIF(K24:K29,1,J24:J29)</f>
        <v>0</v>
      </c>
      <c r="K30" s="109"/>
      <c r="L30" s="109">
        <f>SUMIF(M24:M29,1,L24:L29)</f>
        <v>0</v>
      </c>
      <c r="M30" s="110"/>
      <c r="N30" s="111">
        <f t="shared" si="1"/>
        <v>0</v>
      </c>
    </row>
    <row r="31" spans="1:14" s="37" customFormat="1" ht="15" customHeight="1" x14ac:dyDescent="0.3">
      <c r="A31" s="112" t="s">
        <v>126</v>
      </c>
      <c r="B31" s="318"/>
      <c r="C31" s="319"/>
      <c r="D31" s="319"/>
      <c r="E31" s="319"/>
      <c r="F31" s="73">
        <f>SUMIF(G24:G29,2,F24:F29)</f>
        <v>0</v>
      </c>
      <c r="G31" s="75"/>
      <c r="H31" s="75">
        <f>SUMIF(I24:I29,2,H24:H29)</f>
        <v>0</v>
      </c>
      <c r="I31" s="75"/>
      <c r="J31" s="75">
        <f>SUMIF(K24:K29,2,J24:J29)</f>
        <v>0</v>
      </c>
      <c r="K31" s="75"/>
      <c r="L31" s="75">
        <f>SUMIF(M24:M29,2,L24:L29)</f>
        <v>0</v>
      </c>
      <c r="M31" s="77"/>
      <c r="N31" s="113">
        <f t="shared" si="1"/>
        <v>0</v>
      </c>
    </row>
    <row r="32" spans="1:14" s="37" customFormat="1" ht="15" customHeight="1" thickBot="1" x14ac:dyDescent="0.35">
      <c r="A32" s="114" t="s">
        <v>121</v>
      </c>
      <c r="B32" s="321"/>
      <c r="C32" s="322"/>
      <c r="D32" s="322"/>
      <c r="E32" s="322"/>
      <c r="F32" s="74">
        <f>F30+F31</f>
        <v>0</v>
      </c>
      <c r="G32" s="76"/>
      <c r="H32" s="76">
        <f>H30+H31</f>
        <v>0</v>
      </c>
      <c r="I32" s="76"/>
      <c r="J32" s="76">
        <f>J30+J31</f>
        <v>0</v>
      </c>
      <c r="K32" s="76"/>
      <c r="L32" s="76">
        <f>L30+L31</f>
        <v>0</v>
      </c>
      <c r="M32" s="78"/>
      <c r="N32" s="121">
        <f t="shared" si="1"/>
        <v>0</v>
      </c>
    </row>
    <row r="33" spans="1:14" s="37" customFormat="1" ht="15" customHeight="1" x14ac:dyDescent="0.3">
      <c r="A33" s="107" t="s">
        <v>128</v>
      </c>
      <c r="B33" s="323"/>
      <c r="C33" s="324"/>
      <c r="D33" s="324"/>
      <c r="E33" s="324"/>
      <c r="F33" s="116">
        <f>IF(F30 = 0,0,IF(F30 &gt;F15,2,IF(F30 =F15,1,0)))</f>
        <v>0</v>
      </c>
      <c r="G33" s="109"/>
      <c r="H33" s="109">
        <f>IF(H30 = 0,0,IF(H30 &gt;H15,2,IF(H30 =H15,1,0)))</f>
        <v>0</v>
      </c>
      <c r="I33" s="109"/>
      <c r="J33" s="109">
        <f>IF(J30 = 0,0,IF(J30 &gt;J15,2,IF(J30 =J15,1,0)))</f>
        <v>0</v>
      </c>
      <c r="K33" s="109"/>
      <c r="L33" s="109">
        <f>IF(L30 = 0,0,IF(L30 &gt;L15,2,IF(L30 =L15,1,0)))</f>
        <v>0</v>
      </c>
      <c r="M33" s="110"/>
      <c r="N33" s="111">
        <f t="shared" si="1"/>
        <v>0</v>
      </c>
    </row>
    <row r="34" spans="1:14" s="37" customFormat="1" ht="15" customHeight="1" x14ac:dyDescent="0.3">
      <c r="A34" s="112" t="s">
        <v>129</v>
      </c>
      <c r="B34" s="318"/>
      <c r="C34" s="319"/>
      <c r="D34" s="319"/>
      <c r="E34" s="319"/>
      <c r="F34" s="73">
        <f>IF(F31 = 0,0,IF(F31 &gt;F16,2,IF(F31 =F16,1,0)))</f>
        <v>0</v>
      </c>
      <c r="G34" s="75"/>
      <c r="H34" s="75">
        <f>IF(H31 = 0,0,IF(H31 &gt;H16,2,IF(H31 =H16,1,0)))</f>
        <v>0</v>
      </c>
      <c r="I34" s="75"/>
      <c r="J34" s="75">
        <f>IF(J31 = 0,0,IF(J31 &gt;J16,2,IF(J31 =J16,1,0)))</f>
        <v>0</v>
      </c>
      <c r="K34" s="75"/>
      <c r="L34" s="75">
        <f>IF(L31 = 0,0,IF(L31 &gt;L16,2,IF(L31 =L16,1,0)))</f>
        <v>0</v>
      </c>
      <c r="M34" s="77"/>
      <c r="N34" s="113">
        <f t="shared" si="1"/>
        <v>0</v>
      </c>
    </row>
    <row r="35" spans="1:14" ht="15" customHeight="1" thickBot="1" x14ac:dyDescent="0.45">
      <c r="A35" s="114" t="s">
        <v>131</v>
      </c>
      <c r="B35" s="318"/>
      <c r="C35" s="319"/>
      <c r="D35" s="319"/>
      <c r="E35" s="319"/>
      <c r="F35" s="118">
        <f>IF(F32 = 0,0,IF(F32 &gt;F17,2,IF(F32 =F17,1,0)))</f>
        <v>0</v>
      </c>
      <c r="G35" s="119"/>
      <c r="H35" s="119">
        <f>IF(H32 = 0,0,IF(H32 &gt;H17,2,IF(H32 =H17,1,0)))</f>
        <v>0</v>
      </c>
      <c r="I35" s="119"/>
      <c r="J35" s="119">
        <f>IF(J32 = 0,0,IF(J32 &gt;J17,2,IF(J32 =J17,1,0)))</f>
        <v>0</v>
      </c>
      <c r="K35" s="119"/>
      <c r="L35" s="119">
        <f>IF(L32 = 0,0,IF(L32 &gt;L17,2,IF(L32 =L17,1,0)))</f>
        <v>0</v>
      </c>
      <c r="M35" s="120"/>
      <c r="N35" s="113">
        <f t="shared" si="1"/>
        <v>0</v>
      </c>
    </row>
    <row r="36" spans="1:14" ht="15" customHeight="1" thickBot="1" x14ac:dyDescent="0.45">
      <c r="A36" s="117" t="s">
        <v>124</v>
      </c>
      <c r="B36" s="316"/>
      <c r="C36" s="317"/>
      <c r="D36" s="317"/>
      <c r="E36" s="317"/>
      <c r="F36" s="209">
        <f>F33+F34+F35</f>
        <v>0</v>
      </c>
      <c r="G36" s="210"/>
      <c r="H36" s="210">
        <f>H33+H34+H35</f>
        <v>0</v>
      </c>
      <c r="I36" s="210"/>
      <c r="J36" s="210">
        <f>J33+J34+J35</f>
        <v>0</v>
      </c>
      <c r="K36" s="210"/>
      <c r="L36" s="210">
        <f>L33+L34+L35</f>
        <v>0</v>
      </c>
      <c r="M36" s="211"/>
      <c r="N36" s="121">
        <f t="shared" si="1"/>
        <v>0</v>
      </c>
    </row>
    <row r="37" spans="1:14" ht="15" customHeight="1" x14ac:dyDescent="0.4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</row>
    <row r="38" spans="1:14" ht="15" customHeight="1" x14ac:dyDescent="0.4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</row>
    <row r="39" spans="1:14" ht="15" customHeight="1" x14ac:dyDescent="0.4">
      <c r="A39" s="315" t="str">
        <f>A6</f>
        <v>LBC 2012</v>
      </c>
      <c r="B39" s="315"/>
      <c r="C39" s="93"/>
      <c r="D39" s="315" t="str">
        <f>E6</f>
        <v>Slagelse BC</v>
      </c>
      <c r="E39" s="315"/>
      <c r="F39" s="315"/>
      <c r="G39" s="315"/>
      <c r="H39" s="315"/>
      <c r="I39" s="93"/>
      <c r="J39" s="315" t="s">
        <v>90</v>
      </c>
      <c r="K39" s="315"/>
      <c r="L39" s="315"/>
      <c r="M39" s="315"/>
      <c r="N39" s="315"/>
    </row>
    <row r="40" spans="1:14" ht="15" customHeight="1" x14ac:dyDescent="0.4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</sheetData>
  <sheetProtection sheet="1" objects="1" scenarios="1" selectLockedCells="1"/>
  <mergeCells count="39">
    <mergeCell ref="B11:E11"/>
    <mergeCell ref="A1:C1"/>
    <mergeCell ref="D1:M1"/>
    <mergeCell ref="A2:C2"/>
    <mergeCell ref="D2:M2"/>
    <mergeCell ref="A3:C3"/>
    <mergeCell ref="D3:M3"/>
    <mergeCell ref="D4:M4"/>
    <mergeCell ref="B8:E8"/>
    <mergeCell ref="B9:E9"/>
    <mergeCell ref="B10:E10"/>
    <mergeCell ref="B16:E16"/>
    <mergeCell ref="B17:E17"/>
    <mergeCell ref="B18:E18"/>
    <mergeCell ref="B19:E19"/>
    <mergeCell ref="B12:E12"/>
    <mergeCell ref="B13:E13"/>
    <mergeCell ref="B14:E14"/>
    <mergeCell ref="B15:E15"/>
    <mergeCell ref="B26:E26"/>
    <mergeCell ref="B27:E27"/>
    <mergeCell ref="B28:E28"/>
    <mergeCell ref="B29:E29"/>
    <mergeCell ref="B20:E20"/>
    <mergeCell ref="B21:E21"/>
    <mergeCell ref="A22:N22"/>
    <mergeCell ref="B23:E23"/>
    <mergeCell ref="B24:E24"/>
    <mergeCell ref="B25:E25"/>
    <mergeCell ref="B30:E30"/>
    <mergeCell ref="B31:E31"/>
    <mergeCell ref="B32:E32"/>
    <mergeCell ref="B33:E33"/>
    <mergeCell ref="B34:E34"/>
    <mergeCell ref="B35:E35"/>
    <mergeCell ref="B36:E36"/>
    <mergeCell ref="A39:B39"/>
    <mergeCell ref="D39:H39"/>
    <mergeCell ref="J39:N39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2"/>
  <sheetViews>
    <sheetView workbookViewId="0">
      <selection activeCell="D7" sqref="D7"/>
    </sheetView>
  </sheetViews>
  <sheetFormatPr defaultRowHeight="14.4" x14ac:dyDescent="0.3"/>
  <cols>
    <col min="3" max="3" width="12.21875" bestFit="1" customWidth="1"/>
    <col min="4" max="4" width="21.5546875" bestFit="1" customWidth="1"/>
  </cols>
  <sheetData>
    <row r="1" spans="3:7" x14ac:dyDescent="0.3">
      <c r="C1" t="s">
        <v>199</v>
      </c>
      <c r="D1" t="s">
        <v>14</v>
      </c>
      <c r="E1" t="s">
        <v>105</v>
      </c>
      <c r="G1" t="s">
        <v>105</v>
      </c>
    </row>
    <row r="2" spans="3:7" x14ac:dyDescent="0.3">
      <c r="C2" t="s">
        <v>196</v>
      </c>
      <c r="D2" s="197" t="s">
        <v>134</v>
      </c>
      <c r="E2" s="197" t="s">
        <v>114</v>
      </c>
      <c r="F2" s="197" t="s">
        <v>84</v>
      </c>
      <c r="G2" s="197" t="s">
        <v>114</v>
      </c>
    </row>
    <row r="3" spans="3:7" ht="18" x14ac:dyDescent="0.3">
      <c r="C3" t="s">
        <v>203</v>
      </c>
      <c r="D3" s="198" t="s">
        <v>118</v>
      </c>
      <c r="E3" s="198" t="s">
        <v>135</v>
      </c>
      <c r="F3" s="198" t="s">
        <v>84</v>
      </c>
      <c r="G3" s="198" t="s">
        <v>135</v>
      </c>
    </row>
    <row r="4" spans="3:7" ht="18" x14ac:dyDescent="0.3">
      <c r="C4" t="s">
        <v>271</v>
      </c>
      <c r="D4" s="197" t="s">
        <v>136</v>
      </c>
      <c r="E4" s="197" t="s">
        <v>137</v>
      </c>
      <c r="F4" s="197" t="s">
        <v>84</v>
      </c>
      <c r="G4" s="197" t="s">
        <v>137</v>
      </c>
    </row>
    <row r="5" spans="3:7" ht="18" x14ac:dyDescent="0.3">
      <c r="C5" t="s">
        <v>65</v>
      </c>
      <c r="D5" s="198" t="s">
        <v>138</v>
      </c>
      <c r="E5" s="198" t="s">
        <v>139</v>
      </c>
      <c r="F5" s="198" t="s">
        <v>84</v>
      </c>
      <c r="G5" s="198" t="s">
        <v>139</v>
      </c>
    </row>
    <row r="6" spans="3:7" x14ac:dyDescent="0.3">
      <c r="C6" t="s">
        <v>48</v>
      </c>
      <c r="D6" s="197" t="s">
        <v>140</v>
      </c>
      <c r="E6" s="197" t="s">
        <v>141</v>
      </c>
      <c r="F6" s="197" t="s">
        <v>84</v>
      </c>
      <c r="G6" s="197" t="s">
        <v>141</v>
      </c>
    </row>
    <row r="7" spans="3:7" ht="18" x14ac:dyDescent="0.3">
      <c r="C7" t="s">
        <v>61</v>
      </c>
      <c r="D7" s="198" t="s">
        <v>142</v>
      </c>
      <c r="E7" s="198" t="s">
        <v>143</v>
      </c>
      <c r="F7" s="198" t="s">
        <v>84</v>
      </c>
      <c r="G7" s="198" t="s">
        <v>143</v>
      </c>
    </row>
    <row r="8" spans="3:7" x14ac:dyDescent="0.3">
      <c r="C8" t="s">
        <v>53</v>
      </c>
      <c r="D8" s="197" t="s">
        <v>110</v>
      </c>
      <c r="E8" s="197" t="s">
        <v>109</v>
      </c>
      <c r="F8" s="197" t="s">
        <v>84</v>
      </c>
      <c r="G8" s="197" t="s">
        <v>109</v>
      </c>
    </row>
    <row r="9" spans="3:7" ht="18" x14ac:dyDescent="0.3">
      <c r="C9" t="s">
        <v>64</v>
      </c>
      <c r="D9" s="198" t="s">
        <v>144</v>
      </c>
      <c r="E9" s="198" t="s">
        <v>145</v>
      </c>
      <c r="F9" s="198" t="s">
        <v>84</v>
      </c>
      <c r="G9" s="198" t="s">
        <v>145</v>
      </c>
    </row>
    <row r="10" spans="3:7" ht="18" x14ac:dyDescent="0.3">
      <c r="C10" t="s">
        <v>200</v>
      </c>
      <c r="D10" s="197" t="s">
        <v>198</v>
      </c>
      <c r="E10" s="197" t="s">
        <v>197</v>
      </c>
      <c r="F10" s="197" t="s">
        <v>84</v>
      </c>
      <c r="G10" s="197" t="s">
        <v>197</v>
      </c>
    </row>
    <row r="11" spans="3:7" ht="18" x14ac:dyDescent="0.3">
      <c r="C11" t="s">
        <v>201</v>
      </c>
      <c r="D11" s="198" t="s">
        <v>146</v>
      </c>
      <c r="E11" s="198" t="s">
        <v>147</v>
      </c>
      <c r="F11" s="198" t="s">
        <v>84</v>
      </c>
      <c r="G11" s="198" t="s">
        <v>147</v>
      </c>
    </row>
    <row r="12" spans="3:7" ht="18" x14ac:dyDescent="0.3">
      <c r="C12" t="s">
        <v>49</v>
      </c>
      <c r="D12" s="197" t="s">
        <v>148</v>
      </c>
      <c r="E12" s="197" t="s">
        <v>108</v>
      </c>
      <c r="F12" s="197" t="s">
        <v>84</v>
      </c>
      <c r="G12" s="197" t="s">
        <v>108</v>
      </c>
    </row>
    <row r="13" spans="3:7" ht="18" x14ac:dyDescent="0.3">
      <c r="C13" t="s">
        <v>173</v>
      </c>
      <c r="D13" s="198" t="s">
        <v>149</v>
      </c>
      <c r="E13" s="198" t="s">
        <v>150</v>
      </c>
      <c r="F13" s="198" t="s">
        <v>84</v>
      </c>
      <c r="G13" s="198" t="s">
        <v>150</v>
      </c>
    </row>
    <row r="14" spans="3:7" ht="18" x14ac:dyDescent="0.3">
      <c r="C14" t="s">
        <v>51</v>
      </c>
      <c r="D14" s="197" t="s">
        <v>116</v>
      </c>
      <c r="E14" s="197" t="s">
        <v>151</v>
      </c>
      <c r="F14" s="197" t="s">
        <v>84</v>
      </c>
      <c r="G14" s="197" t="s">
        <v>151</v>
      </c>
    </row>
    <row r="15" spans="3:7" x14ac:dyDescent="0.3">
      <c r="C15" t="s">
        <v>174</v>
      </c>
      <c r="D15" s="198" t="s">
        <v>152</v>
      </c>
      <c r="E15" s="198" t="s">
        <v>153</v>
      </c>
      <c r="F15" s="198" t="s">
        <v>84</v>
      </c>
      <c r="G15" s="198" t="s">
        <v>153</v>
      </c>
    </row>
    <row r="16" spans="3:7" ht="18" x14ac:dyDescent="0.3">
      <c r="C16" t="s">
        <v>54</v>
      </c>
      <c r="D16" s="197" t="s">
        <v>154</v>
      </c>
      <c r="E16" s="197" t="s">
        <v>155</v>
      </c>
      <c r="F16" s="197" t="s">
        <v>84</v>
      </c>
      <c r="G16" s="197" t="s">
        <v>155</v>
      </c>
    </row>
    <row r="17" spans="3:7" ht="18" x14ac:dyDescent="0.3">
      <c r="C17" t="s">
        <v>62</v>
      </c>
      <c r="D17" s="198" t="s">
        <v>156</v>
      </c>
      <c r="E17" s="198" t="s">
        <v>157</v>
      </c>
      <c r="F17" s="198" t="s">
        <v>84</v>
      </c>
      <c r="G17" s="198" t="s">
        <v>157</v>
      </c>
    </row>
    <row r="18" spans="3:7" ht="18" x14ac:dyDescent="0.3">
      <c r="C18" t="s">
        <v>60</v>
      </c>
      <c r="D18" s="197" t="s">
        <v>158</v>
      </c>
      <c r="E18" s="197" t="s">
        <v>159</v>
      </c>
      <c r="F18" s="197" t="s">
        <v>84</v>
      </c>
      <c r="G18" s="197" t="s">
        <v>159</v>
      </c>
    </row>
    <row r="19" spans="3:7" x14ac:dyDescent="0.3">
      <c r="C19" t="s">
        <v>50</v>
      </c>
      <c r="D19" s="198" t="s">
        <v>160</v>
      </c>
      <c r="E19" s="198" t="s">
        <v>161</v>
      </c>
      <c r="F19" s="198" t="s">
        <v>84</v>
      </c>
      <c r="G19" s="198" t="s">
        <v>161</v>
      </c>
    </row>
    <row r="20" spans="3:7" ht="18" x14ac:dyDescent="0.3">
      <c r="C20" t="s">
        <v>202</v>
      </c>
      <c r="D20" s="197" t="s">
        <v>162</v>
      </c>
      <c r="E20" s="197" t="s">
        <v>163</v>
      </c>
      <c r="F20" s="197" t="s">
        <v>84</v>
      </c>
      <c r="G20" s="197" t="s">
        <v>163</v>
      </c>
    </row>
    <row r="21" spans="3:7" ht="18" x14ac:dyDescent="0.3">
      <c r="C21" t="s">
        <v>46</v>
      </c>
      <c r="D21" s="198" t="s">
        <v>107</v>
      </c>
      <c r="E21" s="198" t="s">
        <v>106</v>
      </c>
      <c r="F21" s="198" t="s">
        <v>84</v>
      </c>
      <c r="G21" s="198" t="s">
        <v>106</v>
      </c>
    </row>
    <row r="22" spans="3:7" ht="18" x14ac:dyDescent="0.3">
      <c r="C22" t="s">
        <v>55</v>
      </c>
      <c r="D22" s="197" t="s">
        <v>113</v>
      </c>
      <c r="E22" s="197" t="s">
        <v>112</v>
      </c>
      <c r="F22" s="197" t="s">
        <v>84</v>
      </c>
      <c r="G22" s="197" t="s">
        <v>112</v>
      </c>
    </row>
    <row r="23" spans="3:7" ht="18" x14ac:dyDescent="0.3">
      <c r="C23" t="s">
        <v>47</v>
      </c>
      <c r="D23" s="198" t="s">
        <v>164</v>
      </c>
      <c r="E23" s="198" t="s">
        <v>165</v>
      </c>
      <c r="F23" s="198" t="s">
        <v>84</v>
      </c>
      <c r="G23" s="198" t="s">
        <v>165</v>
      </c>
    </row>
    <row r="24" spans="3:7" ht="18" x14ac:dyDescent="0.3">
      <c r="C24" t="s">
        <v>63</v>
      </c>
      <c r="D24" s="197" t="s">
        <v>166</v>
      </c>
      <c r="E24" s="197" t="s">
        <v>167</v>
      </c>
      <c r="F24" s="197" t="s">
        <v>84</v>
      </c>
      <c r="G24" s="197" t="s">
        <v>167</v>
      </c>
    </row>
    <row r="25" spans="3:7" ht="18" x14ac:dyDescent="0.3">
      <c r="C25" t="s">
        <v>52</v>
      </c>
      <c r="D25" s="198" t="s">
        <v>117</v>
      </c>
      <c r="E25" s="198" t="s">
        <v>168</v>
      </c>
      <c r="F25" s="198" t="s">
        <v>84</v>
      </c>
      <c r="G25" s="198" t="s">
        <v>168</v>
      </c>
    </row>
    <row r="26" spans="3:7" ht="18" x14ac:dyDescent="0.3">
      <c r="C26" t="s">
        <v>58</v>
      </c>
      <c r="D26" s="197" t="s">
        <v>169</v>
      </c>
      <c r="E26" s="197" t="s">
        <v>170</v>
      </c>
      <c r="F26" s="197" t="s">
        <v>84</v>
      </c>
      <c r="G26" s="197" t="s">
        <v>170</v>
      </c>
    </row>
    <row r="27" spans="3:7" ht="18" x14ac:dyDescent="0.3">
      <c r="C27" t="s">
        <v>57</v>
      </c>
      <c r="D27" s="198" t="s">
        <v>171</v>
      </c>
      <c r="E27" s="198" t="s">
        <v>172</v>
      </c>
      <c r="F27" s="198" t="s">
        <v>84</v>
      </c>
      <c r="G27" s="198" t="s">
        <v>172</v>
      </c>
    </row>
    <row r="28" spans="3:7" ht="18" x14ac:dyDescent="0.3">
      <c r="C28" t="s">
        <v>56</v>
      </c>
      <c r="D28" s="197" t="s">
        <v>111</v>
      </c>
      <c r="E28" s="197" t="s">
        <v>115</v>
      </c>
      <c r="F28" s="197" t="s">
        <v>84</v>
      </c>
      <c r="G28" s="197" t="s">
        <v>115</v>
      </c>
    </row>
    <row r="29" spans="3:7" x14ac:dyDescent="0.3">
      <c r="C29" s="139"/>
      <c r="D29" s="139"/>
      <c r="E29" s="140"/>
      <c r="F29" s="139"/>
    </row>
    <row r="30" spans="3:7" x14ac:dyDescent="0.3">
      <c r="C30" s="137"/>
      <c r="D30" s="137"/>
      <c r="E30" s="138"/>
      <c r="F30" s="137"/>
    </row>
    <row r="31" spans="3:7" x14ac:dyDescent="0.3">
      <c r="C31" s="139"/>
      <c r="D31" s="139"/>
      <c r="E31" s="140"/>
      <c r="F31" s="139"/>
    </row>
    <row r="32" spans="3:7" x14ac:dyDescent="0.3">
      <c r="C32" s="137"/>
      <c r="D32" s="137"/>
      <c r="E32" s="138"/>
      <c r="F32" s="137"/>
    </row>
  </sheetData>
  <sheetProtection sheet="1" objects="1" scenarios="1" selectLockedCells="1" autoFilter="0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5</vt:i4>
      </vt:variant>
    </vt:vector>
  </HeadingPairs>
  <TitlesOfParts>
    <vt:vector size="12" baseType="lpstr">
      <vt:lpstr>Kampe</vt:lpstr>
      <vt:lpstr>Misafregning</vt:lpstr>
      <vt:lpstr>Scoretavle_3_mands</vt:lpstr>
      <vt:lpstr>Scoretavle_Trio</vt:lpstr>
      <vt:lpstr>Scoretavle_Double</vt:lpstr>
      <vt:lpstr>Scoretavle_4_damers hold</vt:lpstr>
      <vt:lpstr>Licensnumre</vt:lpstr>
      <vt:lpstr>Misafregning!Udskriftsområde</vt:lpstr>
      <vt:lpstr>Scoretavle_3_mands!Udskriftsområde</vt:lpstr>
      <vt:lpstr>'Scoretavle_4_damers hold'!Udskriftsområde</vt:lpstr>
      <vt:lpstr>Scoretavle_Double!Udskriftsområde</vt:lpstr>
      <vt:lpstr>Scoretavle_Trio!Udskriftsområde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Lena Christensen</cp:lastModifiedBy>
  <cp:lastPrinted>2020-11-23T10:46:55Z</cp:lastPrinted>
  <dcterms:created xsi:type="dcterms:W3CDTF">2019-09-03T07:48:04Z</dcterms:created>
  <dcterms:modified xsi:type="dcterms:W3CDTF">2020-12-02T11:39:53Z</dcterms:modified>
</cp:coreProperties>
</file>